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AUG 2024\"/>
    </mc:Choice>
  </mc:AlternateContent>
  <bookViews>
    <workbookView xWindow="0" yWindow="0" windowWidth="9630" windowHeight="2880" tabRatio="716" activeTab="6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3" l="1"/>
  <c r="D14" i="113" s="1"/>
  <c r="B14" i="113"/>
  <c r="A14" i="113"/>
  <c r="C14" i="115"/>
  <c r="D14" i="115" s="1"/>
  <c r="B14" i="115"/>
  <c r="A14" i="115"/>
  <c r="G19" i="112" l="1"/>
  <c r="G16" i="112"/>
  <c r="D24" i="116" l="1"/>
  <c r="D23" i="116"/>
  <c r="C12" i="114" l="1"/>
  <c r="C13" i="114" s="1"/>
  <c r="C14" i="114" s="1"/>
  <c r="C15" i="114" s="1"/>
  <c r="D15" i="114" s="1"/>
  <c r="A14" i="112"/>
  <c r="B14" i="112"/>
  <c r="A17" i="112"/>
  <c r="B17" i="112"/>
  <c r="A20" i="112"/>
  <c r="B20" i="112"/>
  <c r="B11" i="112"/>
  <c r="C11" i="112"/>
  <c r="A11" i="112"/>
  <c r="G14" i="116" l="1"/>
  <c r="G17" i="116" s="1"/>
  <c r="G20" i="116" s="1"/>
  <c r="G23" i="116" s="1"/>
  <c r="G15" i="116"/>
  <c r="G18" i="116" s="1"/>
  <c r="G21" i="116" s="1"/>
  <c r="G24" i="116" s="1"/>
  <c r="G16" i="117"/>
  <c r="B24" i="120" l="1"/>
  <c r="B23" i="120"/>
  <c r="A24" i="120"/>
  <c r="A23" i="120"/>
  <c r="B24" i="116"/>
  <c r="B23" i="116"/>
  <c r="A23" i="116"/>
  <c r="G11" i="113" l="1"/>
  <c r="A11" i="116"/>
  <c r="B11" i="116"/>
  <c r="C11" i="116"/>
  <c r="A12" i="116"/>
  <c r="B12" i="116"/>
  <c r="C12" i="116"/>
  <c r="G14" i="117"/>
  <c r="G11" i="115" l="1"/>
  <c r="G12" i="115" s="1"/>
  <c r="G13" i="115" s="1"/>
  <c r="G14" i="115" s="1"/>
  <c r="G13" i="112"/>
  <c r="G14" i="122"/>
  <c r="J14" i="115" l="1"/>
  <c r="L14" i="115"/>
  <c r="K14" i="115"/>
  <c r="H14" i="115"/>
  <c r="I14" i="115"/>
  <c r="D11" i="116"/>
  <c r="G21" i="117"/>
  <c r="G26" i="117" s="1"/>
  <c r="G17" i="117"/>
  <c r="G19" i="117"/>
  <c r="H19" i="117"/>
  <c r="H26" i="117" l="1"/>
  <c r="G31" i="117"/>
  <c r="O31" i="117" s="1"/>
  <c r="N31" i="117" s="1"/>
  <c r="Q31" i="117" s="1"/>
  <c r="R31" i="117" s="1"/>
  <c r="G14" i="120" l="1"/>
  <c r="D11" i="122"/>
  <c r="D11" i="112" s="1"/>
  <c r="G13" i="120"/>
  <c r="O16" i="117"/>
  <c r="N16" i="117" s="1"/>
  <c r="Q16" i="117" s="1"/>
  <c r="R16" i="117" s="1"/>
  <c r="K18" i="116" l="1"/>
  <c r="I18" i="116"/>
  <c r="L18" i="116"/>
  <c r="Q18" i="116"/>
  <c r="J18" i="116"/>
  <c r="R18" i="116"/>
  <c r="N17" i="117"/>
  <c r="M17" i="117" s="1"/>
  <c r="L17" i="117" s="1"/>
  <c r="H14" i="117"/>
  <c r="G12" i="114"/>
  <c r="G13" i="114" s="1"/>
  <c r="B13" i="115"/>
  <c r="B13" i="113" s="1"/>
  <c r="A13" i="115"/>
  <c r="A13" i="113" s="1"/>
  <c r="B12" i="115"/>
  <c r="B12" i="113" s="1"/>
  <c r="A12" i="115"/>
  <c r="A12" i="113" s="1"/>
  <c r="C14" i="122"/>
  <c r="C17" i="122" l="1"/>
  <c r="C14" i="112"/>
  <c r="K24" i="116"/>
  <c r="J24" i="116"/>
  <c r="I24" i="116"/>
  <c r="R24" i="116"/>
  <c r="Q24" i="116"/>
  <c r="L24" i="116"/>
  <c r="R21" i="116"/>
  <c r="I21" i="116"/>
  <c r="Q21" i="116"/>
  <c r="L21" i="116"/>
  <c r="K21" i="116"/>
  <c r="J21" i="116"/>
  <c r="G14" i="114"/>
  <c r="G15" i="114" s="1"/>
  <c r="H15" i="114" s="1"/>
  <c r="H13" i="114"/>
  <c r="G24" i="117"/>
  <c r="G22" i="117"/>
  <c r="G27" i="117" s="1"/>
  <c r="G32" i="117" s="1"/>
  <c r="P17" i="117"/>
  <c r="C16" i="117"/>
  <c r="C21" i="117" s="1"/>
  <c r="C26" i="117" s="1"/>
  <c r="C31" i="117" s="1"/>
  <c r="C15" i="117"/>
  <c r="C20" i="117" s="1"/>
  <c r="C25" i="117" s="1"/>
  <c r="C30" i="117" s="1"/>
  <c r="C20" i="122" l="1"/>
  <c r="C17" i="112"/>
  <c r="D30" i="117"/>
  <c r="C23" i="116"/>
  <c r="C23" i="120" s="1"/>
  <c r="D31" i="117"/>
  <c r="C24" i="120"/>
  <c r="C24" i="116"/>
  <c r="C13" i="115"/>
  <c r="D13" i="115" s="1"/>
  <c r="H14" i="114"/>
  <c r="D13" i="114"/>
  <c r="C12" i="115"/>
  <c r="H24" i="117"/>
  <c r="G29" i="117"/>
  <c r="H29" i="117" s="1"/>
  <c r="P32" i="117"/>
  <c r="N32" i="117"/>
  <c r="M32" i="117" s="1"/>
  <c r="L32" i="117" s="1"/>
  <c r="D14" i="114"/>
  <c r="G17" i="120"/>
  <c r="G20" i="120" s="1"/>
  <c r="G23" i="120" s="1"/>
  <c r="I23" i="120" s="1"/>
  <c r="D11" i="114"/>
  <c r="C20" i="112" l="1"/>
  <c r="D20" i="122"/>
  <c r="D20" i="112" s="1"/>
  <c r="C13" i="113"/>
  <c r="D13" i="113" s="1"/>
  <c r="C12" i="113"/>
  <c r="D12" i="113" s="1"/>
  <c r="D12" i="115"/>
  <c r="J12" i="115"/>
  <c r="L12" i="115"/>
  <c r="K12" i="115"/>
  <c r="I12" i="115"/>
  <c r="H12" i="115"/>
  <c r="O21" i="117"/>
  <c r="N21" i="117" s="1"/>
  <c r="Q21" i="117" s="1"/>
  <c r="R21" i="117" s="1"/>
  <c r="O11" i="117"/>
  <c r="N11" i="117" s="1"/>
  <c r="Q11" i="117" s="1"/>
  <c r="R11" i="117" s="1"/>
  <c r="G13" i="117"/>
  <c r="G18" i="117" s="1"/>
  <c r="G23" i="117" s="1"/>
  <c r="G28" i="117" s="1"/>
  <c r="H28" i="117" s="1"/>
  <c r="G15" i="112"/>
  <c r="G18" i="112" s="1"/>
  <c r="G21" i="112" s="1"/>
  <c r="N21" i="112" l="1"/>
  <c r="M21" i="112"/>
  <c r="I21" i="112"/>
  <c r="H21" i="112"/>
  <c r="H18" i="117"/>
  <c r="L13" i="115"/>
  <c r="J13" i="115"/>
  <c r="K13" i="115"/>
  <c r="H13" i="115"/>
  <c r="I13" i="115"/>
  <c r="C12" i="120"/>
  <c r="D12" i="120" s="1"/>
  <c r="C11" i="120"/>
  <c r="O26" i="117" l="1"/>
  <c r="N26" i="117" s="1"/>
  <c r="Q26" i="117" s="1"/>
  <c r="R26" i="117" s="1"/>
  <c r="D14" i="122"/>
  <c r="D14" i="112" s="1"/>
  <c r="D17" i="122" l="1"/>
  <c r="D17" i="112" s="1"/>
  <c r="C14" i="120" l="1"/>
  <c r="D14" i="120" s="1"/>
  <c r="C21" i="120"/>
  <c r="D21" i="120" s="1"/>
  <c r="C18" i="120"/>
  <c r="D18" i="120" s="1"/>
  <c r="C20" i="120" l="1"/>
  <c r="D20" i="120" s="1"/>
  <c r="C17" i="120"/>
  <c r="D17" i="120" s="1"/>
  <c r="G12" i="113"/>
  <c r="G13" i="113" s="1"/>
  <c r="G14" i="113" s="1"/>
  <c r="M14" i="113" l="1"/>
  <c r="N14" i="113" s="1"/>
  <c r="I14" i="113"/>
  <c r="H14" i="113"/>
  <c r="L14" i="113"/>
  <c r="J14" i="113"/>
  <c r="K14" i="113"/>
  <c r="O19" i="112"/>
  <c r="H19" i="112"/>
  <c r="K19" i="112" s="1"/>
  <c r="I12" i="113"/>
  <c r="H12" i="113"/>
  <c r="K12" i="113"/>
  <c r="J12" i="113"/>
  <c r="L12" i="113"/>
  <c r="M12" i="113"/>
  <c r="N12" i="113" s="1"/>
  <c r="G15" i="117"/>
  <c r="G16" i="120"/>
  <c r="G19" i="120" s="1"/>
  <c r="G22" i="120" s="1"/>
  <c r="H22" i="120" s="1"/>
  <c r="H17" i="116" l="1"/>
  <c r="M19" i="112"/>
  <c r="J19" i="112"/>
  <c r="G20" i="117"/>
  <c r="K13" i="113"/>
  <c r="J13" i="113"/>
  <c r="M13" i="113"/>
  <c r="N13" i="113" s="1"/>
  <c r="I13" i="113"/>
  <c r="L13" i="113"/>
  <c r="H13" i="113"/>
  <c r="H20" i="116" l="1"/>
  <c r="I20" i="117"/>
  <c r="J20" i="117" s="1"/>
  <c r="K20" i="117" s="1"/>
  <c r="G25" i="117"/>
  <c r="G30" i="117" s="1"/>
  <c r="I30" i="117" s="1"/>
  <c r="J30" i="117" s="1"/>
  <c r="K30" i="117" s="1"/>
  <c r="G17" i="122"/>
  <c r="G20" i="122" s="1"/>
  <c r="H20" i="122" l="1"/>
  <c r="M23" i="116"/>
  <c r="O23" i="116"/>
  <c r="K23" i="116"/>
  <c r="J23" i="116"/>
  <c r="H23" i="116"/>
  <c r="N23" i="116"/>
  <c r="L23" i="116"/>
  <c r="G14" i="112"/>
  <c r="G17" i="112" l="1"/>
  <c r="G20" i="112" s="1"/>
  <c r="H20" i="112" l="1"/>
  <c r="N20" i="112"/>
  <c r="M20" i="112"/>
  <c r="L20" i="112"/>
  <c r="I20" i="112"/>
  <c r="B18" i="120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A20" i="116"/>
  <c r="B20" i="116"/>
  <c r="C20" i="116"/>
  <c r="D20" i="116" s="1"/>
  <c r="C15" i="116"/>
  <c r="B15" i="116"/>
  <c r="A15" i="116"/>
  <c r="D26" i="117"/>
  <c r="D21" i="116" s="1"/>
  <c r="D21" i="117"/>
  <c r="D18" i="116" s="1"/>
  <c r="D16" i="117"/>
  <c r="D11" i="117"/>
  <c r="D12" i="116" s="1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8" i="117"/>
  <c r="D12" i="114"/>
  <c r="H17" i="122"/>
  <c r="C10" i="115"/>
  <c r="D10" i="115" s="1"/>
  <c r="A11" i="115"/>
  <c r="B11" i="115"/>
  <c r="B10" i="115"/>
  <c r="A10" i="115"/>
  <c r="D15" i="117"/>
  <c r="H13" i="117"/>
  <c r="H9" i="117"/>
  <c r="C11" i="115" l="1"/>
  <c r="D11" i="115" s="1"/>
  <c r="H11" i="122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H23" i="117" l="1"/>
  <c r="C17" i="116"/>
  <c r="D17" i="116" s="1"/>
  <c r="D11" i="120"/>
  <c r="B17" i="116"/>
  <c r="A17" i="116"/>
  <c r="B14" i="116"/>
  <c r="A14" i="116"/>
  <c r="A11" i="113" l="1"/>
  <c r="B11" i="113"/>
  <c r="C10" i="113"/>
  <c r="D10" i="113" s="1"/>
  <c r="B10" i="113"/>
  <c r="A10" i="113"/>
  <c r="I11" i="120" l="1"/>
  <c r="I25" i="117" l="1"/>
  <c r="J25" i="117" s="1"/>
  <c r="K25" i="117" s="1"/>
  <c r="L11" i="112" l="1"/>
  <c r="I20" i="120" l="1"/>
  <c r="H12" i="114" l="1"/>
  <c r="H14" i="122"/>
  <c r="C11" i="113" l="1"/>
  <c r="D11" i="113" s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<sst xmlns="http://schemas.openxmlformats.org/spreadsheetml/2006/main" count="778" uniqueCount="280">
  <si>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</si>
  <si>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</si>
  <si>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</si>
  <si>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</si>
  <si>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</si>
  <si>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</si>
  <si>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</si>
  <si>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</si>
  <si>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</si>
  <si>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</si>
  <si>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</si>
  <si>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</si>
  <si>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</si>
  <si>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</si>
  <si>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</si>
  <si>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</si>
  <si>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</si>
  <si>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</si>
  <si>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</si>
  <si>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</si>
  <si>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</si>
  <si>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</si>
  <si>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</si>
  <si>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</si>
  <si>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</si>
  <si>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</si>
  <si>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</si>
  <si>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</si>
  <si>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</si>
  <si>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</si>
  <si>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</si>
  <si>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</si>
  <si>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</si>
  <si>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</si>
  <si>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</si>
  <si>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</si>
  <si>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</si>
  <si>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</si>
  <si>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</si>
  <si>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</si>
  <si>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</si>
  <si>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</si>
  <si>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</si>
  <si>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</si>
  <si>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</si>
  <si>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</si>
  <si>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</si>
  <si>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</si>
  <si>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</si>
  <si>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</si>
  <si>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</si>
  <si>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</si>
  <si>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</si>
  <si>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</si>
  <si>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</si>
  <si>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</si>
  <si>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</si>
  <si>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</si>
  <si>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</si>
  <si>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</si>
  <si>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</si>
  <si>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</si>
  <si>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</si>
  <si>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</si>
  <si>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</si>
  <si>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</si>
  <si>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</si>
  <si>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</si>
  <si>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</si>
  <si>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</si>
  <si>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</si>
  <si>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</si>
  <si>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</si>
  <si>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</si>
  <si>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</si>
  <si>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</si>
  <si>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</si>
  <si>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</si>
  <si>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</si>
  <si>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</si>
  <si>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</si>
  <si>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</si>
  <si>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</si>
  <si>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</si>
  <si>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</si>
  <si>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</si>
  <si>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</si>
  <si>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</si>
  <si>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</si>
  <si>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</si>
  <si>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</si>
  <si>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</si>
  <si>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</si>
  <si>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</si>
  <si>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</si>
  <si>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</si>
  <si>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</si>
  <si>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</si>
  <si>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</si>
  <si>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</si>
  <si>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</si>
  <si>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</si>
  <si>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</si>
  <si>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</si>
  <si>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</si>
  <si>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</si>
  <si>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</si>
  <si>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</si>
  <si>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</si>
  <si>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</si>
  <si>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</si>
  <si>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</si>
  <si>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</si>
  <si>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</si>
  <si>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</si>
  <si>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</si>
  <si>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</si>
  <si>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</si>
  <si>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</si>
  <si>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</si>
  <si>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</si>
  <si>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</si>
  <si>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</si>
  <si>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</si>
  <si>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CAPE FAWLEY</t>
  </si>
  <si>
    <t>SINAR SUNDA</t>
  </si>
  <si>
    <t>SAN LORENZO</t>
  </si>
  <si>
    <t>MERATUS JAYAGIRI</t>
  </si>
  <si>
    <t>QINGDAO</t>
  </si>
  <si>
    <t>COSCO SURABAYA</t>
  </si>
  <si>
    <t>AN HAI</t>
  </si>
  <si>
    <t>BFAD SOUTHERN</t>
  </si>
  <si>
    <t>X-PRESS KARAKORAM</t>
  </si>
  <si>
    <t>SEASPAN TOKYO</t>
  </si>
  <si>
    <t>011W</t>
  </si>
  <si>
    <t>005W</t>
  </si>
  <si>
    <t>261S</t>
  </si>
  <si>
    <t>018S</t>
  </si>
  <si>
    <t>NYK FUJI</t>
  </si>
  <si>
    <t>126W</t>
  </si>
  <si>
    <t>SEAMAX STAMFORD</t>
  </si>
  <si>
    <t>144W</t>
  </si>
  <si>
    <t>116W</t>
  </si>
  <si>
    <t>082W</t>
  </si>
  <si>
    <t>COSCO KOREA</t>
  </si>
  <si>
    <t>084W</t>
  </si>
  <si>
    <t>EXPRESS SPAIN</t>
  </si>
  <si>
    <t>146W</t>
  </si>
  <si>
    <t>KOTA PAHLAWAN</t>
  </si>
  <si>
    <t>0037W</t>
  </si>
  <si>
    <t>XIN YANG SHAN</t>
  </si>
  <si>
    <t>SPIL CAYA</t>
  </si>
  <si>
    <t>427W</t>
  </si>
  <si>
    <t>CF ATHENA</t>
  </si>
  <si>
    <t>066W</t>
  </si>
  <si>
    <t>036E</t>
  </si>
  <si>
    <t>169S</t>
  </si>
  <si>
    <t>019S</t>
  </si>
  <si>
    <t>170S</t>
  </si>
  <si>
    <t>020S</t>
  </si>
  <si>
    <t>127S</t>
  </si>
  <si>
    <t>262S</t>
  </si>
  <si>
    <t>128S</t>
  </si>
  <si>
    <t>263S</t>
  </si>
  <si>
    <t>COSCO IZMIR</t>
  </si>
  <si>
    <t>078W</t>
  </si>
  <si>
    <t>BAI CHAY BRIDGE</t>
  </si>
  <si>
    <t>140W</t>
  </si>
  <si>
    <t>BEAR MOUNTAIN BRIDGE</t>
  </si>
  <si>
    <t>121W</t>
  </si>
  <si>
    <t>KOTA SINGA</t>
  </si>
  <si>
    <t>DOLPHIN II</t>
  </si>
  <si>
    <t>020W</t>
  </si>
  <si>
    <t>BAY BRIDGE</t>
  </si>
  <si>
    <t>195W</t>
  </si>
  <si>
    <t>APL DETROIT</t>
  </si>
  <si>
    <t>04FIBW1MA</t>
  </si>
  <si>
    <t>MAERSK SOFIA</t>
  </si>
  <si>
    <t>428W</t>
  </si>
  <si>
    <t>MAERSK SHEERNESS</t>
  </si>
  <si>
    <t>429W</t>
  </si>
  <si>
    <t>ANDROUSA</t>
  </si>
  <si>
    <t>355W</t>
  </si>
  <si>
    <t>WARNOW MATE</t>
  </si>
  <si>
    <t>057W</t>
  </si>
  <si>
    <t>RENA P</t>
  </si>
  <si>
    <t>NAVIOS MAGNOLIA</t>
  </si>
  <si>
    <t>118W</t>
  </si>
  <si>
    <t>VULPECULA</t>
  </si>
  <si>
    <t xml:space="preserve"> 
NAVIOS DESTINY</t>
  </si>
  <si>
    <t>EVER FINE</t>
  </si>
  <si>
    <t>1598-018W</t>
  </si>
  <si>
    <t>KOTA PELANGI</t>
  </si>
  <si>
    <t>0038W</t>
  </si>
  <si>
    <t>EVER LISSOME</t>
  </si>
  <si>
    <t>1598-065W</t>
  </si>
  <si>
    <t>EVER FOREVER</t>
  </si>
  <si>
    <t xml:space="preserve"> 1601-062W</t>
  </si>
  <si>
    <t>CMA CGM MISSOURI</t>
  </si>
  <si>
    <t>0BDIMW1MA</t>
  </si>
  <si>
    <t>ALESSIA</t>
  </si>
  <si>
    <t>010W</t>
  </si>
  <si>
    <t>CMA CGM BELEM</t>
  </si>
  <si>
    <t>0BDIQW1MA</t>
  </si>
  <si>
    <t>CMA CGM PARATY</t>
  </si>
  <si>
    <t>0BDISW1MA</t>
  </si>
  <si>
    <t>COSCO SHIPPING ARGENTINA</t>
  </si>
  <si>
    <t>003W</t>
  </si>
  <si>
    <t>XIN HUANG PU</t>
  </si>
  <si>
    <t>209W</t>
  </si>
  <si>
    <t>NORTHERN DEPENDANT</t>
  </si>
  <si>
    <t>203W</t>
  </si>
  <si>
    <t>431W</t>
  </si>
  <si>
    <t>AREOPOLIS</t>
  </si>
  <si>
    <t>439W</t>
  </si>
  <si>
    <t>ALIANCA MANAUS</t>
  </si>
  <si>
    <t>430W</t>
  </si>
  <si>
    <t>432W</t>
  </si>
  <si>
    <t>013N</t>
  </si>
  <si>
    <t>068N</t>
  </si>
  <si>
    <t>036N</t>
  </si>
  <si>
    <t>177N</t>
  </si>
  <si>
    <t>COSCO PACIFIC</t>
  </si>
  <si>
    <t>090E</t>
  </si>
  <si>
    <t>EVER LYRIC</t>
  </si>
  <si>
    <t>0692-063E</t>
  </si>
  <si>
    <t>EVER LAWFUL</t>
  </si>
  <si>
    <t>0693-059E</t>
  </si>
  <si>
    <t>EVER LIBRA</t>
  </si>
  <si>
    <t>0694-075E</t>
  </si>
  <si>
    <t>063E</t>
  </si>
  <si>
    <t>059E</t>
  </si>
  <si>
    <t>075E</t>
  </si>
  <si>
    <t>WAN HAI A06</t>
  </si>
  <si>
    <t>E004</t>
  </si>
  <si>
    <t>EVER LEARNED</t>
  </si>
  <si>
    <t>065E</t>
  </si>
  <si>
    <t>KOTA PEONY</t>
  </si>
  <si>
    <t>003E</t>
  </si>
  <si>
    <t>CSCL SPRING</t>
  </si>
  <si>
    <t>CMA CGM INTEGRITY</t>
  </si>
  <si>
    <t>0MHNJE1</t>
  </si>
  <si>
    <t>CMA CGM DIGNITY</t>
  </si>
  <si>
    <t>0MHNLE1</t>
  </si>
  <si>
    <t>CMA CGM HOPE</t>
  </si>
  <si>
    <t>0MHNNE1</t>
  </si>
  <si>
    <t>CMA CGM PRIDE</t>
  </si>
  <si>
    <t>0MHNPE1</t>
  </si>
  <si>
    <t>035E</t>
  </si>
  <si>
    <t>176E</t>
  </si>
  <si>
    <t>013E</t>
  </si>
  <si>
    <t>068E</t>
  </si>
  <si>
    <t>EVER FOCUS</t>
  </si>
  <si>
    <t>1175E</t>
  </si>
  <si>
    <t>EVER LEGEND</t>
  </si>
  <si>
    <t>1176E</t>
  </si>
  <si>
    <t>EVER FOND</t>
  </si>
  <si>
    <t>1177E</t>
  </si>
  <si>
    <t>EVER LEADING</t>
  </si>
  <si>
    <t>1178E</t>
  </si>
  <si>
    <t>EVER FAR</t>
  </si>
  <si>
    <t>1179E</t>
  </si>
  <si>
    <t>WESTPORT</t>
  </si>
  <si>
    <t>096E</t>
  </si>
  <si>
    <t>COSCO SHIPPING THAMES</t>
  </si>
  <si>
    <t>031E</t>
  </si>
  <si>
    <t>CSCL ASIA</t>
  </si>
  <si>
    <t>163E</t>
  </si>
  <si>
    <t>OOCL ATLANTA</t>
  </si>
  <si>
    <t>161E</t>
  </si>
  <si>
    <t>CMA CGM LIBRA</t>
  </si>
  <si>
    <t>0PPKGE1MA</t>
  </si>
  <si>
    <t>CSCL ZEEBRUGGE</t>
  </si>
  <si>
    <t>048E</t>
  </si>
  <si>
    <t>COSCO HELLAS</t>
  </si>
  <si>
    <t>110E</t>
  </si>
  <si>
    <t>APL YANGSHAN</t>
  </si>
  <si>
    <t>0PPKME1MA</t>
  </si>
  <si>
    <t>CMA CGM JACQUES JUNIOR</t>
  </si>
  <si>
    <t>0PPKOE1MA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</si>
</sst>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1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  <font>
      <b/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9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90" fillId="28" borderId="0" xfId="133" applyFont="1" applyFill="1"/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74" fillId="25" borderId="19" xfId="0" applyFont="1" applyFill="1" applyBorder="1" applyAlignment="1">
      <alignment wrapText="1"/>
    </xf>
    <xf numFmtId="0" fontId="5" fillId="25" borderId="0" xfId="132" applyFont="1" applyFill="1"/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165" fontId="44" fillId="0" borderId="0" xfId="133" applyNumberFormat="1" applyFont="1" applyAlignment="1">
      <alignment horizontal="center" vertical="center"/>
    </xf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4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6" fontId="45" fillId="25" borderId="38" xfId="0" quotePrefix="1" applyNumberFormat="1" applyFont="1" applyFill="1" applyBorder="1" applyAlignment="1">
      <alignment horizontal="center" vertical="center"/>
    </xf>
    <xf numFmtId="166" fontId="46" fillId="0" borderId="0" xfId="0" applyNumberFormat="1" applyFont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165" fontId="44" fillId="0" borderId="0" xfId="133" applyNumberFormat="1" applyFont="1" applyAlignment="1">
      <alignment horizontal="center" vertical="center" wrapText="1"/>
    </xf>
    <xf numFmtId="0" fontId="90" fillId="26" borderId="0" xfId="134" applyFont="1" applyFill="1" applyAlignment="1">
      <alignment horizontal="center"/>
    </xf>
    <xf numFmtId="0" fontId="90" fillId="26" borderId="0" xfId="134" applyFont="1" applyFill="1" applyAlignment="1">
      <alignment horizontal="left"/>
    </xf>
    <xf numFmtId="16" fontId="90" fillId="33" borderId="0" xfId="134" applyNumberFormat="1" applyFont="1" applyFill="1" applyAlignment="1">
      <alignment horizontal="center"/>
    </xf>
    <xf numFmtId="16" fontId="90" fillId="33" borderId="0" xfId="133" applyNumberFormat="1" applyFont="1" applyFill="1" applyAlignment="1">
      <alignment horizontal="center"/>
    </xf>
    <xf numFmtId="16" fontId="90" fillId="33" borderId="0" xfId="133" quotePrefix="1" applyNumberFormat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5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0" fontId="89" fillId="0" borderId="32" xfId="0" applyFont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6" xfId="25" applyFont="1" applyFill="1" applyBorder="1" applyAlignment="1">
      <alignment horizontal="center" wrapText="1"/>
    </xf>
    <xf numFmtId="166" fontId="47" fillId="25" borderId="57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9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0" fontId="61" fillId="25" borderId="38" xfId="27" applyFont="1" applyFill="1" applyBorder="1" applyAlignment="1">
      <alignment wrapText="1"/>
    </xf>
    <xf numFmtId="0" fontId="43" fillId="25" borderId="0" xfId="132" applyFont="1" applyFill="1"/>
    <xf numFmtId="0" fontId="75" fillId="25" borderId="56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0" fontId="75" fillId="25" borderId="55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0" fontId="74" fillId="25" borderId="0" xfId="0" applyFont="1" applyFill="1" applyAlignment="1">
      <alignment wrapText="1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16" fontId="44" fillId="25" borderId="60" xfId="132" applyNumberFormat="1" applyFont="1" applyFill="1" applyBorder="1" applyAlignment="1">
      <alignment horizontal="center"/>
    </xf>
    <xf numFmtId="0" fontId="75" fillId="25" borderId="55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165" fontId="44" fillId="24" borderId="0" xfId="133" applyNumberFormat="1" applyFont="1" applyFill="1" applyAlignment="1">
      <alignment horizontal="center" vertical="center"/>
    </xf>
    <xf numFmtId="166" fontId="44" fillId="25" borderId="0" xfId="0" quotePrefix="1" applyNumberFormat="1" applyFont="1" applyFill="1" applyAlignment="1">
      <alignment horizontal="center" vertical="center"/>
    </xf>
    <xf numFmtId="166" fontId="44" fillId="25" borderId="0" xfId="0" applyNumberFormat="1" applyFont="1" applyFill="1" applyAlignment="1">
      <alignment horizontal="center" vertical="center"/>
    </xf>
    <xf numFmtId="16" fontId="84" fillId="25" borderId="0" xfId="134" applyNumberFormat="1" applyFont="1" applyFill="1" applyAlignment="1">
      <alignment horizontal="center"/>
    </xf>
    <xf numFmtId="16" fontId="44" fillId="25" borderId="0" xfId="133" quotePrefix="1" applyNumberFormat="1" applyFont="1" applyFill="1" applyAlignment="1">
      <alignment horizontal="center"/>
    </xf>
    <xf numFmtId="16" fontId="84" fillId="25" borderId="0" xfId="133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0" fontId="63" fillId="26" borderId="39" xfId="0" applyFont="1" applyFill="1" applyBorder="1" applyAlignment="1">
      <alignment wrapText="1"/>
    </xf>
    <xf numFmtId="0" fontId="47" fillId="25" borderId="60" xfId="25" applyFont="1" applyFill="1" applyBorder="1" applyAlignment="1">
      <alignment horizontal="center" wrapText="1"/>
    </xf>
    <xf numFmtId="165" fontId="45" fillId="24" borderId="40" xfId="133" applyNumberFormat="1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16" fontId="47" fillId="25" borderId="19" xfId="133" applyNumberFormat="1" applyFont="1" applyFill="1" applyBorder="1" applyAlignment="1">
      <alignment horizontal="left" wrapText="1"/>
    </xf>
    <xf numFmtId="0" fontId="63" fillId="26" borderId="39" xfId="0" applyFont="1" applyFill="1" applyBorder="1"/>
    <xf numFmtId="0" fontId="47" fillId="25" borderId="61" xfId="25" applyFont="1" applyFill="1" applyBorder="1" applyAlignment="1">
      <alignment horizontal="center" wrapText="1"/>
    </xf>
    <xf numFmtId="166" fontId="47" fillId="25" borderId="62" xfId="0" applyNumberFormat="1" applyFont="1" applyFill="1" applyBorder="1" applyAlignment="1">
      <alignment horizontal="center" vertical="center"/>
    </xf>
    <xf numFmtId="0" fontId="75" fillId="25" borderId="61" xfId="133" applyFont="1" applyFill="1" applyBorder="1" applyAlignment="1">
      <alignment horizontal="center"/>
    </xf>
    <xf numFmtId="0" fontId="75" fillId="25" borderId="61" xfId="133" applyFont="1" applyFill="1" applyBorder="1" applyAlignment="1">
      <alignment horizontal="left"/>
    </xf>
    <xf numFmtId="16" fontId="75" fillId="25" borderId="63" xfId="133" applyNumberFormat="1" applyFont="1" applyFill="1" applyBorder="1" applyAlignment="1">
      <alignment horizontal="center"/>
    </xf>
    <xf numFmtId="16" fontId="44" fillId="25" borderId="62" xfId="133" quotePrefix="1" applyNumberFormat="1" applyFont="1" applyFill="1" applyBorder="1" applyAlignment="1">
      <alignment horizontal="center"/>
    </xf>
    <xf numFmtId="165" fontId="45" fillId="24" borderId="0" xfId="133" applyNumberFormat="1" applyFont="1" applyFill="1" applyAlignment="1">
      <alignment horizontal="center" vertical="center"/>
    </xf>
    <xf numFmtId="166" fontId="75" fillId="26" borderId="39" xfId="0" applyNumberFormat="1" applyFont="1" applyFill="1" applyBorder="1" applyAlignment="1">
      <alignment horizontal="center" vertical="center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84" fillId="25" borderId="30" xfId="134" applyNumberFormat="1" applyFont="1" applyFill="1" applyBorder="1" applyAlignment="1">
      <alignment horizontal="center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76" fillId="0" borderId="0" xfId="27" applyFont="1"/>
    <xf numFmtId="16" fontId="76" fillId="0" borderId="32" xfId="0" applyNumberFormat="1" applyFont="1" applyBorder="1"/>
    <xf numFmtId="16" fontId="76" fillId="0" borderId="54" xfId="0" applyNumberFormat="1" applyFont="1" applyBorder="1"/>
    <xf numFmtId="16" fontId="76" fillId="0" borderId="54" xfId="0" applyNumberFormat="1" applyFont="1" applyBorder="1" applyAlignment="1">
      <alignment horizontal="center"/>
    </xf>
    <xf numFmtId="16" fontId="76" fillId="26" borderId="22" xfId="27" quotePrefix="1" applyNumberFormat="1" applyFont="1" applyFill="1" applyBorder="1" applyAlignment="1">
      <alignment horizontal="center"/>
    </xf>
    <xf numFmtId="16" fontId="76" fillId="25" borderId="22" xfId="27" quotePrefix="1" applyNumberFormat="1" applyFont="1" applyFill="1" applyBorder="1" applyAlignment="1">
      <alignment horizontal="center"/>
    </xf>
    <xf numFmtId="16" fontId="76" fillId="26" borderId="47" xfId="27" quotePrefix="1" applyNumberFormat="1" applyFont="1" applyFill="1" applyBorder="1" applyAlignment="1">
      <alignment horizontal="center"/>
    </xf>
    <xf numFmtId="16" fontId="76" fillId="0" borderId="32" xfId="0" applyNumberFormat="1" applyFont="1" applyBorder="1" applyAlignment="1">
      <alignment wrapText="1"/>
    </xf>
    <xf numFmtId="16" fontId="76" fillId="0" borderId="54" xfId="0" applyNumberFormat="1" applyFont="1" applyBorder="1" applyAlignment="1">
      <alignment wrapText="1"/>
    </xf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</cellXfs>
  <cellStyles count="138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Comma 2" xfId="19"/>
    <cellStyle name="Hyperlink" xfId="20" builtinId="8"/>
    <cellStyle name="Normal" xfId="0" builtinId="0"/>
    <cellStyle name="Normal 2" xfId="21"/>
    <cellStyle name="Normal 2 2" xfId="22"/>
    <cellStyle name="Normal_EUROPE" xfId="23"/>
    <cellStyle name="Normal_EUROPE 2" xfId="134"/>
    <cellStyle name="Normal_MED" xfId="24"/>
    <cellStyle name="Normal_MED (1)" xfId="25"/>
    <cellStyle name="Normal_MED 2" xfId="133"/>
    <cellStyle name="Normal_PERSIAN GULF" xfId="137"/>
    <cellStyle name="Normal_Persian Gulf via HKG" xfId="26"/>
    <cellStyle name="Normal_Persian Gulf via HKG 2" xfId="135"/>
    <cellStyle name="Normal_SOUTH AFRICA" xfId="27"/>
    <cellStyle name="Normal_SOUTH AFRICA 2" xfId="132"/>
    <cellStyle name="Normal_US WC &amp; Canada" xfId="28"/>
    <cellStyle name="Normal_US WC &amp; Canada 2" xfId="136"/>
    <cellStyle name="normální 2" xfId="29"/>
    <cellStyle name="normální 2 2" xfId="30"/>
    <cellStyle name="normální 2_Xl0001353" xfId="31"/>
    <cellStyle name="normální_04Road" xfId="32"/>
    <cellStyle name="표준_LOOP 3 LR-2005(CEX)" xfId="33"/>
    <cellStyle name="一般_2008-10-28 Long Term Schedule CTS SVC" xfId="34"/>
    <cellStyle name="好" xfId="35"/>
    <cellStyle name="好_MED WB ARB 1st Quarter 2013" xfId="36"/>
    <cellStyle name="好_MED WB ARB 1st Quarter 2015" xfId="37"/>
    <cellStyle name="好_MED WB ARB 1st Quarter 2015v2" xfId="38"/>
    <cellStyle name="好_MED WB ARB 2nd Quarter 2014" xfId="39"/>
    <cellStyle name="好_MED WB ARB 2nd Quarter 2014V2" xfId="40"/>
    <cellStyle name="好_MED WB ARB 3rd Quarter 2013" xfId="41"/>
    <cellStyle name="好_MED WB ARB 4th Quarter 2013V1" xfId="42"/>
    <cellStyle name="好_NW EUR SVC Westbound RF Arbitraries 2nd Qtr 2014" xfId="43"/>
    <cellStyle name="好_NW EUR SVC Westbound RF Arbitraries 3rd Qtr 2013" xfId="44"/>
    <cellStyle name="好_NW EUR SVC Westbound RF Arbitraries 3rd Qtr 2014" xfId="45"/>
    <cellStyle name="好_NWE 2011 3rd qu WB ARB proposal" xfId="46"/>
    <cellStyle name="好_NWE 2011 4thQ WB ARB proposal" xfId="47"/>
    <cellStyle name="好_NWE WB ARB 1st Quarter 2013" xfId="48"/>
    <cellStyle name="好_NWE WB ARB 1st Quarter 2013V2" xfId="49"/>
    <cellStyle name="好_NWE WB ARB 1st Quarter 2014" xfId="50"/>
    <cellStyle name="好_NWE WB ARB 2nd Quarter 2012 proposals" xfId="51"/>
    <cellStyle name="好_NWE WB ARB 2nd Quarter 2013" xfId="52"/>
    <cellStyle name="好_NWE WB ARB 2nd Quarter 2013 V1" xfId="53"/>
    <cellStyle name="好_NWE WB ARB 2nd Quarter 2013 V4" xfId="54"/>
    <cellStyle name="好_NWE WB ARB 2nd Quarter 2014(20140529-20140630)" xfId="55"/>
    <cellStyle name="好_NWE WB ARB 2nd Quarter 2014v2" xfId="56"/>
    <cellStyle name="好_NWE WB ARB 2nd Quarter 2014v3 (1)" xfId="57"/>
    <cellStyle name="好_NWE WB ARB 3rd Quarter 2012" xfId="58"/>
    <cellStyle name="好_NWE WB ARB 3rd Quarter 2013" xfId="59"/>
    <cellStyle name="好_NWE WB ARB 3rd Quarter 2014" xfId="60"/>
    <cellStyle name="好_NWE WB ARB 4th Quarter 2012" xfId="61"/>
    <cellStyle name="好_NWE WB ARB 4th Quarter 2012 update" xfId="62"/>
    <cellStyle name="好_NWE WB ARB 4th Quarter 2013" xfId="63"/>
    <cellStyle name="好_NWE WB ARB 4th Quarter 2014" xfId="64"/>
    <cellStyle name="好_NWE WB ARB NOV 25-DEC 31 2011" xfId="65"/>
    <cellStyle name="好_NWE WB ARB Q1 2012" xfId="66"/>
    <cellStyle name="好_REVISED NWE WB ARB 3rd Quarter 2013" xfId="67"/>
    <cellStyle name="好_UPDATED NWE WB ARB 1st Quarter 2013" xfId="68"/>
    <cellStyle name="差" xfId="69"/>
    <cellStyle name="差_MED WB ARB 1st Quarter 2013" xfId="70"/>
    <cellStyle name="差_MED WB ARB 1st Quarter 2015" xfId="71"/>
    <cellStyle name="差_MED WB ARB 1st Quarter 2015v2" xfId="72"/>
    <cellStyle name="差_MED WB ARB 2nd Quarter 2014" xfId="73"/>
    <cellStyle name="差_MED WB ARB 2nd Quarter 2014V2" xfId="74"/>
    <cellStyle name="差_MED WB ARB 3rd Quarter 2013" xfId="75"/>
    <cellStyle name="差_MED WB ARB 4th Quarter 2013V1" xfId="76"/>
    <cellStyle name="差_NW EUR SVC Westbound RF Arbitraries 2nd Qtr 2014" xfId="77"/>
    <cellStyle name="差_NW EUR SVC Westbound RF Arbitraries 3rd Qtr 2013" xfId="78"/>
    <cellStyle name="差_NW EUR SVC Westbound RF Arbitraries 3rd Qtr 2014" xfId="79"/>
    <cellStyle name="差_NWE 2011 3rd qu WB ARB proposal" xfId="80"/>
    <cellStyle name="差_NWE 2011 4thQ WB ARB proposal" xfId="81"/>
    <cellStyle name="差_NWE WB ARB 1st Quarter 2013" xfId="82"/>
    <cellStyle name="差_NWE WB ARB 1st Quarter 2013V2" xfId="83"/>
    <cellStyle name="差_NWE WB ARB 1st Quarter 2014" xfId="84"/>
    <cellStyle name="差_NWE WB ARB 2nd Quarter 2012 proposals" xfId="85"/>
    <cellStyle name="差_NWE WB ARB 2nd Quarter 2013" xfId="86"/>
    <cellStyle name="差_NWE WB ARB 2nd Quarter 2013 V1" xfId="87"/>
    <cellStyle name="差_NWE WB ARB 2nd Quarter 2013 V4" xfId="88"/>
    <cellStyle name="差_NWE WB ARB 2nd Quarter 2014(20140529-20140630)" xfId="89"/>
    <cellStyle name="差_NWE WB ARB 2nd Quarter 2014v2" xfId="90"/>
    <cellStyle name="差_NWE WB ARB 2nd Quarter 2014v3 (1)" xfId="91"/>
    <cellStyle name="差_NWE WB ARB 3rd Quarter 2012" xfId="92"/>
    <cellStyle name="差_NWE WB ARB 3rd Quarter 2013" xfId="93"/>
    <cellStyle name="差_NWE WB ARB 3rd Quarter 2014" xfId="94"/>
    <cellStyle name="差_NWE WB ARB 4th Quarter 2012" xfId="95"/>
    <cellStyle name="差_NWE WB ARB 4th Quarter 2012 update" xfId="96"/>
    <cellStyle name="差_NWE WB ARB 4th Quarter 2013" xfId="97"/>
    <cellStyle name="差_NWE WB ARB 4th Quarter 2014" xfId="98"/>
    <cellStyle name="差_NWE WB ARB NOV 25-DEC 31 2011" xfId="99"/>
    <cellStyle name="差_NWE WB ARB Q1 2012" xfId="100"/>
    <cellStyle name="差_REVISED NWE WB ARB 3rd Quarter 2013" xfId="101"/>
    <cellStyle name="差_UPDATED NWE WB ARB 1st Quarter 2013" xfId="102"/>
    <cellStyle name="常规 2" xfId="103"/>
    <cellStyle name="常规 2 2" xfId="104"/>
    <cellStyle name="常规 2_Xl0001226" xfId="105"/>
    <cellStyle name="常规 3" xfId="106"/>
    <cellStyle name="常规 3 2 2 2" xfId="107"/>
    <cellStyle name="常规 4" xfId="108"/>
    <cellStyle name="常规_AEN LTS(20071031) " xfId="109"/>
    <cellStyle name="强调文字颜色 1" xfId="110"/>
    <cellStyle name="强调文字颜色 2" xfId="111"/>
    <cellStyle name="强调文字颜色 3" xfId="112"/>
    <cellStyle name="强调文字颜色 4" xfId="113"/>
    <cellStyle name="强调文字颜色 5" xfId="114"/>
    <cellStyle name="强调文字颜色 6" xfId="115"/>
    <cellStyle name="标题" xfId="116"/>
    <cellStyle name="标题 1" xfId="117"/>
    <cellStyle name="标题 2" xfId="118"/>
    <cellStyle name="标题 3" xfId="119"/>
    <cellStyle name="标题 4" xfId="120"/>
    <cellStyle name="标题_MED WB ARB 1st Quarter 2013" xfId="121"/>
    <cellStyle name="检查单元格" xfId="122"/>
    <cellStyle name="汇总" xfId="123"/>
    <cellStyle name="注释" xfId="124"/>
    <cellStyle name="解释性文本" xfId="125"/>
    <cellStyle name="警告文本" xfId="126"/>
    <cellStyle name="计算" xfId="127"/>
    <cellStyle name="输入" xfId="128"/>
    <cellStyle name="输出" xfId="129"/>
    <cellStyle name="适中" xfId="130"/>
    <cellStyle name="链接单元格" xfId="1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opLeftCell="A2" zoomScale="80" zoomScaleNormal="80" zoomScaleSheetLayoutView="100" workbookViewId="0">
      <selection activeCell="E28" sqref="E28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593" t="s">
        <v>0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</row>
    <row r="3" spans="1:17" s="2" customFormat="1">
      <c r="A3" s="592"/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96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99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102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/>
    <hyperlink ref="B12" location="'S.AFRICA via SIN'!A1" display="SOUTH AFRICA (DURBAN, CAPE TOWN)"/>
    <hyperlink ref="B13" location="'S.AMERICA via SIN'!A1" display="SOUTH AMERICA via SINGAPORE  (SANTOS,MONTEVIDEO,BUENOS AIRES , RIO DE JANEIRO, NAGEGANTES, PARANAGUA)"/>
    <hyperlink ref="B9" location="'COLON via TAO'!A1" display="COLON CONTAINER TERMINAL via QINGDAO"/>
    <hyperlink ref="B11" location="'Panama+Caribbean via TAO'!A1" display="PANAMA &amp; CARIBBEAN - ENSENADA, MANZANILLO(MEXICO/PANAMA), CARTAGENA, KINGSTON, CAUCEDO, PORT OF SPAIN via TAO"/>
    <hyperlink ref="B8" location="'WCSA via NGB'!A1" display="WCSA - (MANZANILLO, LAZARO CARDENAS, PUERTO QUETZAL, BUENAVENTURA, GUAYAQUIL, CALLAO, SAN ANTONIO via NINGBO)"/>
    <hyperlink ref="B10" location="'WCSA via TAO'!A1" display="WCSA - ENSENADA, MANZANILLO (MEXICO), CALLAO, SAN ANTONIO via QINGDAO"/>
    <hyperlink ref="B15" location="'WEST AFRICA via PKL'!A1" display="WEST AFRICA via PKL (APAPA, TEMA, LOME, ABIDJAN, COTONOU, ONNE)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70" zoomScaleNormal="70" workbookViewId="0">
      <selection activeCell="J31" sqref="J31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0.4414062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594" t="s">
        <v>0</v>
      </c>
      <c r="C1" s="594"/>
      <c r="D1" s="594"/>
      <c r="E1" s="594"/>
      <c r="F1" s="594"/>
      <c r="G1" s="594"/>
      <c r="H1" s="594"/>
      <c r="I1" s="128"/>
    </row>
    <row r="2" spans="1:10" ht="18">
      <c r="B2" s="595" t="s">
        <v>110</v>
      </c>
      <c r="C2" s="595"/>
      <c r="D2" s="595"/>
      <c r="E2" s="595"/>
      <c r="F2" s="595"/>
      <c r="G2" s="595"/>
      <c r="H2" s="595"/>
      <c r="I2" s="128"/>
    </row>
    <row r="3" spans="1:10" ht="18">
      <c r="B3" s="391"/>
      <c r="C3" s="391"/>
      <c r="D3" s="391"/>
      <c r="E3" s="391"/>
      <c r="F3" s="391"/>
      <c r="G3" s="391"/>
      <c r="H3" s="391"/>
      <c r="I3" s="128"/>
    </row>
    <row r="4" spans="1:10" ht="18">
      <c r="B4" s="391"/>
      <c r="C4" s="391"/>
      <c r="D4" s="391"/>
      <c r="E4" s="391"/>
      <c r="F4" s="391"/>
      <c r="G4" s="391"/>
      <c r="H4" s="391"/>
      <c r="I4" s="128"/>
    </row>
    <row r="5" spans="1:10" ht="18">
      <c r="A5" s="353"/>
      <c r="B5" s="391"/>
      <c r="C5" s="391"/>
      <c r="D5" s="391"/>
      <c r="E5" s="391"/>
      <c r="F5" s="391"/>
      <c r="G5" s="391"/>
      <c r="H5" s="391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596" t="s">
        <v>16</v>
      </c>
      <c r="B8" s="597"/>
      <c r="C8" s="354" t="s">
        <v>17</v>
      </c>
      <c r="D8" s="355" t="s">
        <v>18</v>
      </c>
      <c r="E8" s="600" t="s">
        <v>19</v>
      </c>
      <c r="F8" s="601"/>
      <c r="G8" s="356" t="s">
        <v>111</v>
      </c>
      <c r="H8" s="350" t="s">
        <v>18</v>
      </c>
    </row>
    <row r="9" spans="1:10" ht="15">
      <c r="A9" s="598"/>
      <c r="B9" s="599"/>
      <c r="C9" s="357" t="s">
        <v>21</v>
      </c>
      <c r="D9" s="358" t="s">
        <v>111</v>
      </c>
      <c r="E9" s="602" t="s">
        <v>23</v>
      </c>
      <c r="F9" s="603"/>
      <c r="G9" s="359" t="s">
        <v>18</v>
      </c>
      <c r="H9" s="360" t="s">
        <v>112</v>
      </c>
    </row>
    <row r="10" spans="1:10" ht="15">
      <c r="A10" s="381"/>
      <c r="B10" s="414"/>
      <c r="C10" s="416"/>
      <c r="D10" s="362"/>
      <c r="E10" s="363"/>
      <c r="F10" s="364"/>
      <c r="G10" s="365"/>
      <c r="H10" s="366"/>
      <c r="I10" s="367"/>
    </row>
    <row r="11" spans="1:10" s="371" customFormat="1" ht="15">
      <c r="A11" s="481" t="s">
        <v>132</v>
      </c>
      <c r="B11" s="432" t="s">
        <v>218</v>
      </c>
      <c r="C11" s="431">
        <v>45510</v>
      </c>
      <c r="D11" s="431">
        <f>+C11+4</f>
        <v>45514</v>
      </c>
      <c r="E11" s="482" t="s">
        <v>222</v>
      </c>
      <c r="F11" s="527" t="s">
        <v>223</v>
      </c>
      <c r="G11" s="369">
        <v>45515</v>
      </c>
      <c r="H11" s="370">
        <f>+G11+20</f>
        <v>45535</v>
      </c>
      <c r="I11" s="367" t="s">
        <v>113</v>
      </c>
    </row>
    <row r="12" spans="1:10" s="380" customFormat="1" ht="15">
      <c r="A12" s="418"/>
      <c r="B12" s="419"/>
      <c r="C12" s="420"/>
      <c r="D12" s="375"/>
      <c r="E12" s="376"/>
      <c r="F12" s="377"/>
      <c r="G12" s="378"/>
      <c r="H12" s="379"/>
      <c r="I12" s="65"/>
    </row>
    <row r="13" spans="1:10" ht="15">
      <c r="C13" s="417"/>
      <c r="D13" s="383"/>
      <c r="E13" s="363"/>
      <c r="F13" s="364"/>
      <c r="G13" s="365"/>
      <c r="H13" s="366"/>
      <c r="I13" s="367"/>
    </row>
    <row r="14" spans="1:10" s="371" customFormat="1" ht="15">
      <c r="A14" s="481" t="s">
        <v>123</v>
      </c>
      <c r="B14" s="432" t="s">
        <v>219</v>
      </c>
      <c r="C14" s="368">
        <f>+C11+7</f>
        <v>45517</v>
      </c>
      <c r="D14" s="431">
        <f>+C14+4</f>
        <v>45521</v>
      </c>
      <c r="E14" s="482" t="s">
        <v>224</v>
      </c>
      <c r="F14" s="527" t="s">
        <v>225</v>
      </c>
      <c r="G14" s="369">
        <f>G11+7</f>
        <v>45522</v>
      </c>
      <c r="H14" s="370">
        <f>+G14+20</f>
        <v>45542</v>
      </c>
      <c r="I14" s="367"/>
    </row>
    <row r="15" spans="1:10" s="380" customFormat="1" ht="15">
      <c r="A15" s="372"/>
      <c r="B15" s="415"/>
      <c r="C15" s="374"/>
      <c r="D15" s="385"/>
      <c r="E15" s="376"/>
      <c r="F15" s="377"/>
      <c r="G15" s="378"/>
      <c r="H15" s="379"/>
      <c r="I15" s="65"/>
      <c r="J15" s="380" t="s">
        <v>119</v>
      </c>
    </row>
    <row r="16" spans="1:10" ht="15">
      <c r="A16" s="381"/>
      <c r="B16" s="382"/>
      <c r="C16" s="361"/>
      <c r="D16" s="383"/>
      <c r="E16" s="363"/>
      <c r="F16" s="364"/>
      <c r="G16" s="365"/>
      <c r="H16" s="366"/>
      <c r="I16" s="367"/>
    </row>
    <row r="17" spans="1:10" s="371" customFormat="1" ht="15">
      <c r="A17" s="481" t="s">
        <v>127</v>
      </c>
      <c r="B17" s="432" t="s">
        <v>220</v>
      </c>
      <c r="C17" s="368">
        <f>+C14+7</f>
        <v>45524</v>
      </c>
      <c r="D17" s="431">
        <f>+C17+4</f>
        <v>45528</v>
      </c>
      <c r="E17" s="482" t="s">
        <v>226</v>
      </c>
      <c r="F17" s="527" t="s">
        <v>227</v>
      </c>
      <c r="G17" s="369">
        <f>G14+7</f>
        <v>45529</v>
      </c>
      <c r="H17" s="370">
        <f>+G17+20</f>
        <v>45549</v>
      </c>
      <c r="I17" s="384"/>
    </row>
    <row r="18" spans="1:10" s="380" customFormat="1" ht="15">
      <c r="A18" s="372"/>
      <c r="B18" s="373"/>
      <c r="C18" s="374"/>
      <c r="D18" s="385"/>
      <c r="E18" s="376"/>
      <c r="F18" s="377"/>
      <c r="G18" s="378"/>
      <c r="H18" s="379"/>
      <c r="I18" s="65"/>
    </row>
    <row r="19" spans="1:10" ht="15">
      <c r="A19" s="381"/>
      <c r="B19" s="382"/>
      <c r="C19" s="361"/>
      <c r="D19" s="383"/>
      <c r="E19" s="363"/>
      <c r="F19" s="364"/>
      <c r="G19" s="365"/>
      <c r="H19" s="366"/>
      <c r="I19" s="367"/>
    </row>
    <row r="20" spans="1:10" s="371" customFormat="1" ht="15">
      <c r="A20" s="481" t="s">
        <v>122</v>
      </c>
      <c r="B20" s="432" t="s">
        <v>221</v>
      </c>
      <c r="C20" s="368">
        <f>+C17+7</f>
        <v>45531</v>
      </c>
      <c r="D20" s="431">
        <f>+C20+4</f>
        <v>45535</v>
      </c>
      <c r="E20" s="482" t="s">
        <v>228</v>
      </c>
      <c r="F20" s="527" t="s">
        <v>229</v>
      </c>
      <c r="G20" s="369">
        <f>G17+7</f>
        <v>45536</v>
      </c>
      <c r="H20" s="370">
        <f>+G20+20</f>
        <v>45556</v>
      </c>
      <c r="I20" s="384"/>
    </row>
    <row r="21" spans="1:10" s="380" customFormat="1" ht="15">
      <c r="A21" s="372"/>
      <c r="B21" s="373"/>
      <c r="C21" s="374"/>
      <c r="D21" s="385"/>
      <c r="E21" s="376"/>
      <c r="F21" s="377"/>
      <c r="G21" s="378"/>
      <c r="H21" s="379"/>
      <c r="I21" s="65"/>
    </row>
    <row r="22" spans="1:10" s="380" customFormat="1" ht="15">
      <c r="A22" s="554"/>
      <c r="B22" s="555"/>
      <c r="C22" s="556"/>
      <c r="D22" s="557"/>
      <c r="E22" s="240"/>
      <c r="F22" s="240"/>
      <c r="G22" s="558"/>
      <c r="H22" s="559"/>
      <c r="I22" s="65"/>
    </row>
    <row r="23" spans="1:10" s="380" customFormat="1" ht="15">
      <c r="A23" s="554"/>
      <c r="B23" s="555"/>
      <c r="C23" s="556"/>
      <c r="D23" s="557"/>
      <c r="E23" s="240"/>
      <c r="F23" s="240"/>
      <c r="G23" s="558"/>
      <c r="H23" s="559"/>
      <c r="I23" s="65"/>
    </row>
    <row r="24" spans="1:10" s="380" customFormat="1" ht="15">
      <c r="A24" s="63"/>
      <c r="B24" s="228"/>
      <c r="C24" s="64"/>
      <c r="D24" s="64"/>
      <c r="E24" s="240"/>
      <c r="F24" s="240"/>
      <c r="G24" s="386"/>
      <c r="H24" s="387"/>
      <c r="I24" s="65"/>
      <c r="J24" s="178"/>
    </row>
    <row r="25" spans="1:10">
      <c r="H25" s="163" t="s">
        <v>32</v>
      </c>
    </row>
    <row r="26" spans="1:10" ht="15">
      <c r="A26" s="154" t="s">
        <v>33</v>
      </c>
      <c r="B26" s="261"/>
      <c r="C26" s="187"/>
      <c r="D26" s="161"/>
      <c r="E26" s="240"/>
      <c r="F26" s="384"/>
      <c r="G26" s="162"/>
    </row>
    <row r="27" spans="1:10" ht="15">
      <c r="A27" s="388" t="s">
        <v>34</v>
      </c>
      <c r="B27" s="275"/>
      <c r="C27" s="184"/>
      <c r="D27" s="185"/>
      <c r="E27" s="162"/>
      <c r="F27" s="162"/>
      <c r="G27" s="124"/>
      <c r="H27" s="127"/>
    </row>
    <row r="28" spans="1:10" ht="15">
      <c r="A28" s="166"/>
      <c r="B28" s="389"/>
      <c r="C28" s="390"/>
      <c r="D28" s="165"/>
      <c r="E28" s="239"/>
      <c r="F28" s="239"/>
      <c r="G28" s="124"/>
      <c r="H28" s="127"/>
    </row>
    <row r="29" spans="1:10" ht="15">
      <c r="A29" s="156" t="s">
        <v>98</v>
      </c>
      <c r="B29" s="262"/>
      <c r="C29" s="164"/>
      <c r="D29" s="165"/>
      <c r="E29" s="241"/>
      <c r="F29" s="241"/>
      <c r="G29" s="124"/>
      <c r="H29" s="127"/>
    </row>
    <row r="30" spans="1:10" ht="15">
      <c r="A30" s="156" t="s">
        <v>97</v>
      </c>
      <c r="B30" s="169"/>
      <c r="C30" s="169"/>
      <c r="D30" s="170"/>
      <c r="E30" s="253"/>
      <c r="F30" s="253"/>
      <c r="G30" s="124"/>
      <c r="H30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70" zoomScaleNormal="70" zoomScaleSheetLayoutView="75" workbookViewId="0">
      <selection activeCell="H22" sqref="H22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3.33203125" style="51" bestFit="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614" t="s">
        <v>0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54"/>
    </row>
    <row r="2" spans="1:16" ht="18">
      <c r="B2" s="615" t="s">
        <v>12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54"/>
    </row>
    <row r="3" spans="1:16" ht="18">
      <c r="B3" s="614" t="s">
        <v>13</v>
      </c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54"/>
    </row>
    <row r="4" spans="1:16" ht="18">
      <c r="B4" s="614" t="s">
        <v>101</v>
      </c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54"/>
    </row>
    <row r="5" spans="1:16" ht="18">
      <c r="A5" s="157"/>
      <c r="B5" s="614" t="s">
        <v>15</v>
      </c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606" t="s">
        <v>16</v>
      </c>
      <c r="B8" s="607"/>
      <c r="C8" s="221" t="s">
        <v>17</v>
      </c>
      <c r="D8" s="217" t="s">
        <v>18</v>
      </c>
      <c r="E8" s="612" t="s">
        <v>19</v>
      </c>
      <c r="F8" s="613"/>
      <c r="G8" s="392" t="s">
        <v>20</v>
      </c>
      <c r="H8" s="610" t="s">
        <v>18</v>
      </c>
      <c r="I8" s="610"/>
      <c r="J8" s="610"/>
      <c r="K8" s="610"/>
      <c r="L8" s="610"/>
      <c r="M8" s="610"/>
      <c r="N8" s="610"/>
      <c r="O8" s="611"/>
    </row>
    <row r="9" spans="1:16" ht="18" customHeight="1">
      <c r="A9" s="608"/>
      <c r="B9" s="609"/>
      <c r="C9" s="216" t="s">
        <v>21</v>
      </c>
      <c r="D9" s="212" t="s">
        <v>22</v>
      </c>
      <c r="E9" s="604" t="s">
        <v>23</v>
      </c>
      <c r="F9" s="605"/>
      <c r="G9" s="218" t="s">
        <v>18</v>
      </c>
      <c r="H9" s="219" t="s">
        <v>24</v>
      </c>
      <c r="I9" s="205" t="s">
        <v>25</v>
      </c>
      <c r="J9" s="219" t="s">
        <v>26</v>
      </c>
      <c r="K9" s="429" t="s">
        <v>116</v>
      </c>
      <c r="L9" s="96" t="s">
        <v>27</v>
      </c>
      <c r="M9" s="219" t="s">
        <v>28</v>
      </c>
      <c r="N9" s="96" t="s">
        <v>29</v>
      </c>
      <c r="O9" s="220" t="s">
        <v>30</v>
      </c>
    </row>
    <row r="10" spans="1:16" ht="18" customHeight="1">
      <c r="A10" s="213"/>
      <c r="B10" s="347"/>
      <c r="C10" s="214"/>
      <c r="D10" s="215"/>
      <c r="E10" s="584" t="s">
        <v>222</v>
      </c>
      <c r="F10" s="585" t="s">
        <v>223</v>
      </c>
      <c r="G10" s="586">
        <v>45516</v>
      </c>
      <c r="H10" s="587">
        <f>G10+19</f>
        <v>45535</v>
      </c>
      <c r="I10" s="588" t="s">
        <v>31</v>
      </c>
      <c r="J10" s="587">
        <f>+K10+2</f>
        <v>45544</v>
      </c>
      <c r="K10" s="589">
        <f>+H10+7</f>
        <v>45542</v>
      </c>
      <c r="L10" s="588" t="s">
        <v>31</v>
      </c>
      <c r="M10" s="588">
        <f>+K10+6</f>
        <v>45548</v>
      </c>
      <c r="N10" s="588" t="s">
        <v>31</v>
      </c>
      <c r="O10" s="588">
        <f>G10+37</f>
        <v>45553</v>
      </c>
      <c r="P10" s="583" t="s">
        <v>55</v>
      </c>
    </row>
    <row r="11" spans="1:16" s="61" customFormat="1" ht="18" customHeight="1">
      <c r="A11" s="346" t="str">
        <f>'MANZANILLO via SHA'!A11</f>
        <v>X-PRESS KARAKORAM</v>
      </c>
      <c r="B11" s="346" t="str">
        <f>'MANZANILLO via SHA'!B11</f>
        <v>013N</v>
      </c>
      <c r="C11" s="346">
        <f>'MANZANILLO via SHA'!C11</f>
        <v>45510</v>
      </c>
      <c r="D11" s="346">
        <f>'MANZANILLO via SHA'!D11</f>
        <v>45514</v>
      </c>
      <c r="E11" s="437" t="s">
        <v>233</v>
      </c>
      <c r="F11" s="463" t="s">
        <v>234</v>
      </c>
      <c r="G11" s="464">
        <v>45519</v>
      </c>
      <c r="H11" s="323">
        <f>G11+20</f>
        <v>45539</v>
      </c>
      <c r="I11" s="323">
        <f>G11+22</f>
        <v>45541</v>
      </c>
      <c r="J11" s="336" t="s">
        <v>31</v>
      </c>
      <c r="K11" s="427" t="s">
        <v>31</v>
      </c>
      <c r="L11" s="211">
        <f>G11+24</f>
        <v>45543</v>
      </c>
      <c r="M11" s="322">
        <f>G11+31</f>
        <v>45550</v>
      </c>
      <c r="N11" s="211">
        <f>G11+35</f>
        <v>45554</v>
      </c>
      <c r="O11" s="323" t="s">
        <v>31</v>
      </c>
      <c r="P11" s="208" t="s">
        <v>56</v>
      </c>
    </row>
    <row r="12" spans="1:16" s="62" customFormat="1" ht="18" customHeight="1">
      <c r="A12" s="346"/>
      <c r="B12" s="346"/>
      <c r="C12" s="346"/>
      <c r="D12" s="346"/>
      <c r="E12" s="407" t="s">
        <v>240</v>
      </c>
      <c r="F12" s="531" t="s">
        <v>241</v>
      </c>
      <c r="G12" s="465">
        <v>45518</v>
      </c>
      <c r="H12" s="325">
        <f>G12+22</f>
        <v>45540</v>
      </c>
      <c r="I12" s="324">
        <f>G12+23</f>
        <v>45541</v>
      </c>
      <c r="J12" s="325" t="s">
        <v>31</v>
      </c>
      <c r="K12" s="428" t="s">
        <v>31</v>
      </c>
      <c r="L12" s="297" t="s">
        <v>31</v>
      </c>
      <c r="M12" s="324">
        <f>+G12+34</f>
        <v>45552</v>
      </c>
      <c r="N12" s="324">
        <f>+G12+37</f>
        <v>45555</v>
      </c>
      <c r="O12" s="297" t="s">
        <v>31</v>
      </c>
      <c r="P12" s="65" t="s">
        <v>57</v>
      </c>
    </row>
    <row r="13" spans="1:16" ht="18" customHeight="1">
      <c r="A13" s="346"/>
      <c r="B13" s="346"/>
      <c r="C13" s="346"/>
      <c r="D13" s="346"/>
      <c r="E13" s="590" t="s">
        <v>224</v>
      </c>
      <c r="F13" s="591" t="s">
        <v>230</v>
      </c>
      <c r="G13" s="586">
        <f t="shared" ref="G13:G20" si="0">+G10+7</f>
        <v>45523</v>
      </c>
      <c r="H13" s="587">
        <f>G13+19</f>
        <v>45542</v>
      </c>
      <c r="I13" s="588" t="s">
        <v>31</v>
      </c>
      <c r="J13" s="587">
        <f>+K13+2</f>
        <v>45551</v>
      </c>
      <c r="K13" s="589">
        <f>+H13+7</f>
        <v>45549</v>
      </c>
      <c r="L13" s="588" t="s">
        <v>31</v>
      </c>
      <c r="M13" s="588">
        <f>+K13+6</f>
        <v>45555</v>
      </c>
      <c r="N13" s="588" t="s">
        <v>31</v>
      </c>
      <c r="O13" s="588">
        <f>G13+37</f>
        <v>45560</v>
      </c>
      <c r="P13" s="207"/>
    </row>
    <row r="14" spans="1:16" s="61" customFormat="1" ht="18" customHeight="1">
      <c r="A14" s="346" t="str">
        <f>'MANZANILLO via SHA'!A14</f>
        <v>AS PAMELA</v>
      </c>
      <c r="B14" s="346" t="str">
        <f>'MANZANILLO via SHA'!B14</f>
        <v>068N</v>
      </c>
      <c r="C14" s="346">
        <f>'MANZANILLO via SHA'!C14</f>
        <v>45517</v>
      </c>
      <c r="D14" s="346">
        <f>'MANZANILLO via SHA'!D14</f>
        <v>45521</v>
      </c>
      <c r="E14" s="437" t="s">
        <v>235</v>
      </c>
      <c r="F14" s="526" t="s">
        <v>236</v>
      </c>
      <c r="G14" s="464">
        <f t="shared" si="0"/>
        <v>45526</v>
      </c>
      <c r="H14" s="323">
        <f>G14+20</f>
        <v>45546</v>
      </c>
      <c r="I14" s="323">
        <f>G14+22</f>
        <v>45548</v>
      </c>
      <c r="J14" s="336" t="s">
        <v>31</v>
      </c>
      <c r="K14" s="427" t="s">
        <v>31</v>
      </c>
      <c r="L14" s="211">
        <f>G14+24</f>
        <v>45550</v>
      </c>
      <c r="M14" s="322">
        <f>G14+31</f>
        <v>45557</v>
      </c>
      <c r="N14" s="211">
        <f>G14+35</f>
        <v>45561</v>
      </c>
      <c r="O14" s="323" t="s">
        <v>31</v>
      </c>
      <c r="P14" s="208"/>
    </row>
    <row r="15" spans="1:16" s="62" customFormat="1" ht="18" customHeight="1">
      <c r="A15" s="346"/>
      <c r="B15" s="346"/>
      <c r="C15" s="346"/>
      <c r="D15" s="346"/>
      <c r="E15" s="407" t="s">
        <v>242</v>
      </c>
      <c r="F15" s="564" t="s">
        <v>243</v>
      </c>
      <c r="G15" s="465">
        <f>+G12+7</f>
        <v>45525</v>
      </c>
      <c r="H15" s="325">
        <f>G15+22</f>
        <v>45547</v>
      </c>
      <c r="I15" s="324">
        <f>G15+23</f>
        <v>45548</v>
      </c>
      <c r="J15" s="325" t="s">
        <v>31</v>
      </c>
      <c r="K15" s="428" t="s">
        <v>31</v>
      </c>
      <c r="L15" s="297" t="s">
        <v>31</v>
      </c>
      <c r="M15" s="324">
        <f>+G15+34</f>
        <v>45559</v>
      </c>
      <c r="N15" s="324">
        <f>+G15+37</f>
        <v>45562</v>
      </c>
      <c r="O15" s="297" t="s">
        <v>31</v>
      </c>
      <c r="P15" s="65"/>
    </row>
    <row r="16" spans="1:16" ht="18" customHeight="1">
      <c r="A16" s="346"/>
      <c r="B16" s="346"/>
      <c r="C16" s="346"/>
      <c r="D16" s="346"/>
      <c r="E16" s="590" t="s">
        <v>226</v>
      </c>
      <c r="F16" s="591" t="s">
        <v>231</v>
      </c>
      <c r="G16" s="586">
        <f t="shared" si="0"/>
        <v>45530</v>
      </c>
      <c r="H16" s="587">
        <f>G16+19</f>
        <v>45549</v>
      </c>
      <c r="I16" s="588" t="s">
        <v>31</v>
      </c>
      <c r="J16" s="587">
        <f>+K16+2</f>
        <v>45558</v>
      </c>
      <c r="K16" s="589">
        <f>+H16+7</f>
        <v>45556</v>
      </c>
      <c r="L16" s="588" t="s">
        <v>31</v>
      </c>
      <c r="M16" s="588">
        <f>+K16+6</f>
        <v>45562</v>
      </c>
      <c r="N16" s="588" t="s">
        <v>31</v>
      </c>
      <c r="O16" s="588">
        <f>G16+37</f>
        <v>45567</v>
      </c>
      <c r="P16" s="207"/>
    </row>
    <row r="17" spans="1:16" s="61" customFormat="1" ht="18" customHeight="1">
      <c r="A17" s="346" t="str">
        <f>'MANZANILLO via SHA'!A17</f>
        <v>MERATUS JAYAGIRI</v>
      </c>
      <c r="B17" s="346" t="str">
        <f>'MANZANILLO via SHA'!B17</f>
        <v>036N</v>
      </c>
      <c r="C17" s="346">
        <f>'MANZANILLO via SHA'!C17</f>
        <v>45524</v>
      </c>
      <c r="D17" s="346">
        <f>'MANZANILLO via SHA'!D17</f>
        <v>45528</v>
      </c>
      <c r="E17" s="437" t="s">
        <v>237</v>
      </c>
      <c r="F17" s="526" t="s">
        <v>238</v>
      </c>
      <c r="G17" s="464">
        <f t="shared" si="0"/>
        <v>45533</v>
      </c>
      <c r="H17" s="323">
        <f>G17+20</f>
        <v>45553</v>
      </c>
      <c r="I17" s="323">
        <f>G17+22</f>
        <v>45555</v>
      </c>
      <c r="J17" s="336" t="s">
        <v>31</v>
      </c>
      <c r="K17" s="427" t="s">
        <v>31</v>
      </c>
      <c r="L17" s="211">
        <f>G17+24</f>
        <v>45557</v>
      </c>
      <c r="M17" s="322">
        <f>G17+31</f>
        <v>45564</v>
      </c>
      <c r="N17" s="211">
        <f>G17+35</f>
        <v>45568</v>
      </c>
      <c r="O17" s="323" t="s">
        <v>31</v>
      </c>
      <c r="P17" s="208"/>
    </row>
    <row r="18" spans="1:16" s="62" customFormat="1" ht="18" customHeight="1">
      <c r="A18" s="346"/>
      <c r="B18" s="346"/>
      <c r="C18" s="346"/>
      <c r="D18" s="346"/>
      <c r="E18" s="407" t="s">
        <v>244</v>
      </c>
      <c r="F18" s="569" t="s">
        <v>245</v>
      </c>
      <c r="G18" s="465">
        <f>+G15+7</f>
        <v>45532</v>
      </c>
      <c r="H18" s="325">
        <f>G18+22</f>
        <v>45554</v>
      </c>
      <c r="I18" s="324">
        <f>G18+23</f>
        <v>45555</v>
      </c>
      <c r="J18" s="325" t="s">
        <v>31</v>
      </c>
      <c r="K18" s="428" t="s">
        <v>31</v>
      </c>
      <c r="L18" s="297" t="s">
        <v>31</v>
      </c>
      <c r="M18" s="324">
        <f>+G18+34</f>
        <v>45566</v>
      </c>
      <c r="N18" s="324">
        <f>+G18+37</f>
        <v>45569</v>
      </c>
      <c r="O18" s="297" t="s">
        <v>31</v>
      </c>
      <c r="P18" s="65"/>
    </row>
    <row r="19" spans="1:16" ht="18" customHeight="1">
      <c r="A19" s="346"/>
      <c r="B19" s="346"/>
      <c r="C19" s="346"/>
      <c r="D19" s="346"/>
      <c r="E19" s="590" t="s">
        <v>228</v>
      </c>
      <c r="F19" s="591" t="s">
        <v>232</v>
      </c>
      <c r="G19" s="586">
        <f t="shared" si="0"/>
        <v>45537</v>
      </c>
      <c r="H19" s="587">
        <f>G19+19</f>
        <v>45556</v>
      </c>
      <c r="I19" s="588" t="s">
        <v>31</v>
      </c>
      <c r="J19" s="587">
        <f>+K19+2</f>
        <v>45565</v>
      </c>
      <c r="K19" s="589">
        <f>+H19+7</f>
        <v>45563</v>
      </c>
      <c r="L19" s="588" t="s">
        <v>31</v>
      </c>
      <c r="M19" s="588">
        <f>+K19+6</f>
        <v>45569</v>
      </c>
      <c r="N19" s="588" t="s">
        <v>31</v>
      </c>
      <c r="O19" s="588">
        <f>G19+37</f>
        <v>45574</v>
      </c>
      <c r="P19" s="207"/>
    </row>
    <row r="20" spans="1:16" s="61" customFormat="1" ht="18" customHeight="1">
      <c r="A20" s="346" t="str">
        <f>'MANZANILLO via SHA'!A20</f>
        <v>ZHONG HANG SHENG</v>
      </c>
      <c r="B20" s="346" t="str">
        <f>'MANZANILLO via SHA'!B20</f>
        <v>177N</v>
      </c>
      <c r="C20" s="346">
        <f>'MANZANILLO via SHA'!C20</f>
        <v>45531</v>
      </c>
      <c r="D20" s="346">
        <f>'MANZANILLO via SHA'!D20</f>
        <v>45535</v>
      </c>
      <c r="E20" s="437" t="s">
        <v>239</v>
      </c>
      <c r="F20" s="526" t="s">
        <v>231</v>
      </c>
      <c r="G20" s="464">
        <f t="shared" si="0"/>
        <v>45540</v>
      </c>
      <c r="H20" s="323">
        <f>G20+20</f>
        <v>45560</v>
      </c>
      <c r="I20" s="323">
        <f>G20+22</f>
        <v>45562</v>
      </c>
      <c r="J20" s="336" t="s">
        <v>31</v>
      </c>
      <c r="K20" s="427" t="s">
        <v>31</v>
      </c>
      <c r="L20" s="211">
        <f>G20+24</f>
        <v>45564</v>
      </c>
      <c r="M20" s="322">
        <f>G20+31</f>
        <v>45571</v>
      </c>
      <c r="N20" s="211">
        <f>G20+35</f>
        <v>45575</v>
      </c>
      <c r="O20" s="323" t="s">
        <v>31</v>
      </c>
      <c r="P20" s="208"/>
    </row>
    <row r="21" spans="1:16" s="62" customFormat="1" ht="18" customHeight="1">
      <c r="A21" s="209"/>
      <c r="B21" s="227"/>
      <c r="C21" s="210"/>
      <c r="D21" s="210"/>
      <c r="E21" s="407" t="s">
        <v>246</v>
      </c>
      <c r="F21" s="564" t="s">
        <v>247</v>
      </c>
      <c r="G21" s="465">
        <f>+G18+7</f>
        <v>45539</v>
      </c>
      <c r="H21" s="325">
        <f>G21+22</f>
        <v>45561</v>
      </c>
      <c r="I21" s="324">
        <f>G21+23</f>
        <v>45562</v>
      </c>
      <c r="J21" s="325" t="s">
        <v>31</v>
      </c>
      <c r="K21" s="428" t="s">
        <v>31</v>
      </c>
      <c r="L21" s="297" t="s">
        <v>31</v>
      </c>
      <c r="M21" s="324">
        <f>+G21+34</f>
        <v>45573</v>
      </c>
      <c r="N21" s="324">
        <f>+G21+37</f>
        <v>45576</v>
      </c>
      <c r="O21" s="297" t="s">
        <v>31</v>
      </c>
      <c r="P21" s="65"/>
    </row>
    <row r="22" spans="1:16" s="62" customFormat="1" ht="18" customHeight="1">
      <c r="A22" s="63"/>
      <c r="B22" s="228"/>
      <c r="C22" s="64"/>
      <c r="D22" s="64"/>
      <c r="E22" s="536"/>
      <c r="F22" s="240"/>
      <c r="G22" s="537"/>
      <c r="H22" s="538"/>
      <c r="I22" s="537"/>
      <c r="J22" s="538"/>
      <c r="K22" s="538"/>
      <c r="L22" s="539"/>
      <c r="M22" s="537"/>
      <c r="N22" s="537"/>
      <c r="O22" s="539"/>
      <c r="P22" s="65"/>
    </row>
    <row r="23" spans="1:16" s="62" customFormat="1" ht="18" customHeight="1">
      <c r="A23" s="63"/>
      <c r="B23" s="228"/>
      <c r="C23" s="64"/>
      <c r="D23" s="64"/>
      <c r="E23" s="536"/>
      <c r="F23" s="240"/>
      <c r="G23" s="537"/>
      <c r="H23" s="538"/>
      <c r="I23" s="537"/>
      <c r="J23" s="538"/>
      <c r="K23" s="538"/>
      <c r="L23" s="539"/>
      <c r="M23" s="537"/>
      <c r="N23" s="537"/>
      <c r="O23" s="539"/>
      <c r="P23" s="65"/>
    </row>
    <row r="24" spans="1:16">
      <c r="O24" s="66" t="s">
        <v>32</v>
      </c>
    </row>
    <row r="25" spans="1:16" ht="15">
      <c r="A25" s="67" t="s">
        <v>33</v>
      </c>
      <c r="B25" s="199"/>
      <c r="C25" s="68"/>
      <c r="D25" s="69"/>
      <c r="E25" s="240"/>
      <c r="F25" s="208"/>
      <c r="G25" s="70"/>
    </row>
    <row r="26" spans="1:16" ht="15">
      <c r="A26" s="74" t="s">
        <v>34</v>
      </c>
      <c r="B26" s="229"/>
      <c r="C26" s="75"/>
      <c r="D26" s="76"/>
      <c r="E26" s="70"/>
      <c r="F26" s="70"/>
      <c r="G26" s="51"/>
      <c r="H26" s="53"/>
      <c r="J26" s="53"/>
      <c r="K26" s="53"/>
      <c r="L26" s="51"/>
      <c r="N26" s="51"/>
    </row>
    <row r="27" spans="1:16" ht="15">
      <c r="A27" s="77"/>
      <c r="B27" s="230"/>
      <c r="C27" s="78"/>
      <c r="D27" s="79"/>
      <c r="E27" s="239"/>
      <c r="F27" s="239"/>
      <c r="G27" s="51"/>
      <c r="H27" s="53"/>
      <c r="J27" s="53"/>
      <c r="K27" s="53"/>
      <c r="L27" s="51"/>
      <c r="N27" s="51"/>
    </row>
    <row r="28" spans="1:16" ht="15">
      <c r="A28" s="156" t="s">
        <v>98</v>
      </c>
      <c r="B28" s="198"/>
      <c r="C28" s="71"/>
      <c r="D28" s="79"/>
      <c r="E28" s="241"/>
      <c r="F28" s="241"/>
      <c r="G28" s="51"/>
      <c r="H28" s="53"/>
      <c r="J28" s="53"/>
      <c r="K28" s="53"/>
      <c r="L28" s="51"/>
      <c r="N28" s="51"/>
    </row>
    <row r="29" spans="1:16" ht="15">
      <c r="A29" s="156" t="s">
        <v>97</v>
      </c>
      <c r="B29" s="82"/>
      <c r="C29" s="82"/>
      <c r="D29" s="83"/>
      <c r="E29" s="238"/>
      <c r="F29" s="238"/>
      <c r="G29" s="51"/>
      <c r="H29" s="53"/>
      <c r="J29" s="53"/>
      <c r="K29" s="53"/>
      <c r="L29" s="51"/>
      <c r="N29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3"/>
  <sheetViews>
    <sheetView showGridLines="0" zoomScale="70" zoomScaleNormal="70" zoomScaleSheetLayoutView="75" workbookViewId="0">
      <selection activeCell="F47" sqref="F47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619" t="s">
        <v>35</v>
      </c>
      <c r="C1" s="619"/>
      <c r="D1" s="619"/>
      <c r="E1" s="619"/>
      <c r="F1" s="619"/>
      <c r="G1" s="619"/>
      <c r="H1" s="619"/>
      <c r="I1" s="619"/>
    </row>
    <row r="2" spans="1:10" ht="18">
      <c r="B2" s="620" t="s">
        <v>36</v>
      </c>
      <c r="C2" s="620"/>
      <c r="D2" s="620"/>
      <c r="E2" s="620"/>
      <c r="F2" s="620"/>
      <c r="G2" s="620"/>
      <c r="H2" s="620"/>
      <c r="I2" s="620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23"/>
      <c r="C7" s="91"/>
      <c r="D7" s="91"/>
      <c r="E7" s="91"/>
      <c r="F7" s="92"/>
      <c r="G7" s="282"/>
      <c r="H7" s="93"/>
      <c r="I7" s="93"/>
    </row>
    <row r="8" spans="1:10" ht="15">
      <c r="A8" s="197" t="s">
        <v>14</v>
      </c>
      <c r="B8" s="224"/>
      <c r="C8" s="94"/>
      <c r="D8" s="94"/>
      <c r="E8" s="94"/>
      <c r="F8" s="94"/>
      <c r="G8" s="283"/>
      <c r="H8" s="93"/>
      <c r="I8" s="93"/>
    </row>
    <row r="9" spans="1:10" ht="17.25" customHeight="1">
      <c r="A9" s="621" t="s">
        <v>118</v>
      </c>
      <c r="B9" s="621"/>
      <c r="C9" s="221" t="s">
        <v>17</v>
      </c>
      <c r="D9" s="217" t="s">
        <v>18</v>
      </c>
      <c r="E9" s="617" t="s">
        <v>19</v>
      </c>
      <c r="F9" s="618"/>
      <c r="G9" s="273" t="s">
        <v>37</v>
      </c>
      <c r="H9" s="205" t="s">
        <v>18</v>
      </c>
      <c r="J9" s="95"/>
    </row>
    <row r="10" spans="1:10" ht="34.9" customHeight="1">
      <c r="A10" s="622"/>
      <c r="B10" s="622"/>
      <c r="C10" s="467" t="s">
        <v>21</v>
      </c>
      <c r="D10" s="222" t="s">
        <v>128</v>
      </c>
      <c r="E10" s="617" t="s">
        <v>23</v>
      </c>
      <c r="F10" s="618"/>
      <c r="G10" s="280" t="s">
        <v>18</v>
      </c>
      <c r="H10" s="281" t="s">
        <v>39</v>
      </c>
      <c r="J10" s="98"/>
    </row>
    <row r="11" spans="1:10" ht="26.45" customHeight="1">
      <c r="A11" s="402" t="s">
        <v>127</v>
      </c>
      <c r="B11" s="403" t="s">
        <v>248</v>
      </c>
      <c r="C11" s="404">
        <v>45507</v>
      </c>
      <c r="D11" s="405">
        <f>+C11+8</f>
        <v>45515</v>
      </c>
      <c r="E11" s="523" t="s">
        <v>252</v>
      </c>
      <c r="F11" s="454" t="s">
        <v>253</v>
      </c>
      <c r="G11" s="460">
        <v>45520</v>
      </c>
      <c r="H11" s="455">
        <f>G11+27</f>
        <v>45547</v>
      </c>
      <c r="I11" s="274" t="s">
        <v>108</v>
      </c>
    </row>
    <row r="12" spans="1:10" s="99" customFormat="1" ht="26.45" customHeight="1">
      <c r="A12" s="402" t="s">
        <v>122</v>
      </c>
      <c r="B12" s="403" t="s">
        <v>249</v>
      </c>
      <c r="C12" s="406">
        <f>+C11+7</f>
        <v>45514</v>
      </c>
      <c r="D12" s="405">
        <f>+C12+8</f>
        <v>45522</v>
      </c>
      <c r="E12" s="523" t="s">
        <v>254</v>
      </c>
      <c r="F12" s="454" t="s">
        <v>255</v>
      </c>
      <c r="G12" s="460">
        <f>+G11+7</f>
        <v>45527</v>
      </c>
      <c r="H12" s="455">
        <f t="shared" ref="H12" si="0">G12+27</f>
        <v>45554</v>
      </c>
      <c r="J12" s="274"/>
    </row>
    <row r="13" spans="1:10" s="99" customFormat="1" ht="26.45" customHeight="1">
      <c r="A13" s="402" t="s">
        <v>132</v>
      </c>
      <c r="B13" s="403" t="s">
        <v>250</v>
      </c>
      <c r="C13" s="406">
        <f t="shared" ref="C13:C15" si="1">+C12+7</f>
        <v>45521</v>
      </c>
      <c r="D13" s="405">
        <f>+C13+8</f>
        <v>45529</v>
      </c>
      <c r="E13" s="523" t="s">
        <v>256</v>
      </c>
      <c r="F13" s="454" t="s">
        <v>257</v>
      </c>
      <c r="G13" s="460">
        <f t="shared" ref="G13:G15" si="2">+G12+7</f>
        <v>45534</v>
      </c>
      <c r="H13" s="455">
        <f t="shared" ref="H13" si="3">G13+27</f>
        <v>45561</v>
      </c>
      <c r="J13" s="274"/>
    </row>
    <row r="14" spans="1:10" s="99" customFormat="1" ht="26.45" customHeight="1">
      <c r="A14" s="402" t="s">
        <v>123</v>
      </c>
      <c r="B14" s="403" t="s">
        <v>251</v>
      </c>
      <c r="C14" s="406">
        <f t="shared" si="1"/>
        <v>45528</v>
      </c>
      <c r="D14" s="405">
        <f t="shared" ref="D14" si="4">+C14+8</f>
        <v>45536</v>
      </c>
      <c r="E14" s="523" t="s">
        <v>258</v>
      </c>
      <c r="F14" s="454" t="s">
        <v>259</v>
      </c>
      <c r="G14" s="460">
        <f t="shared" si="2"/>
        <v>45541</v>
      </c>
      <c r="H14" s="455">
        <f t="shared" ref="H14" si="5">G14+27</f>
        <v>45568</v>
      </c>
      <c r="J14" s="274"/>
    </row>
    <row r="15" spans="1:10" s="99" customFormat="1" ht="26.45" customHeight="1">
      <c r="A15" s="402" t="s">
        <v>127</v>
      </c>
      <c r="B15" s="403" t="s">
        <v>155</v>
      </c>
      <c r="C15" s="406">
        <f t="shared" si="1"/>
        <v>45535</v>
      </c>
      <c r="D15" s="405">
        <f t="shared" ref="D15" si="6">+C15+8</f>
        <v>45543</v>
      </c>
      <c r="E15" s="523" t="s">
        <v>260</v>
      </c>
      <c r="F15" s="454" t="s">
        <v>261</v>
      </c>
      <c r="G15" s="460">
        <f t="shared" si="2"/>
        <v>45548</v>
      </c>
      <c r="H15" s="455">
        <f t="shared" ref="H15" si="7">G15+27</f>
        <v>45575</v>
      </c>
      <c r="J15" s="274"/>
    </row>
    <row r="16" spans="1:10" s="99" customFormat="1" ht="15">
      <c r="A16" s="203"/>
      <c r="B16" s="203"/>
      <c r="C16" s="101"/>
      <c r="D16" s="102"/>
      <c r="E16" s="103"/>
      <c r="F16" s="104"/>
      <c r="G16" s="284"/>
      <c r="H16" s="105"/>
      <c r="I16" s="105"/>
      <c r="J16" s="152"/>
    </row>
    <row r="17" spans="1:9" ht="15">
      <c r="A17" s="204"/>
      <c r="B17" s="106"/>
      <c r="C17" s="107"/>
      <c r="D17" s="107"/>
      <c r="E17" s="107"/>
      <c r="F17" s="233"/>
      <c r="G17" s="106"/>
      <c r="I17" s="66" t="s">
        <v>32</v>
      </c>
    </row>
    <row r="18" spans="1:9" ht="15">
      <c r="A18" s="199" t="s">
        <v>33</v>
      </c>
      <c r="B18" s="225"/>
      <c r="C18" s="91"/>
      <c r="D18" s="91"/>
      <c r="E18" s="91"/>
      <c r="H18" s="107"/>
      <c r="I18" s="107"/>
    </row>
    <row r="19" spans="1:9" ht="15">
      <c r="A19" s="200" t="s">
        <v>34</v>
      </c>
      <c r="B19" s="106"/>
      <c r="C19" s="107"/>
      <c r="D19" s="107"/>
      <c r="E19" s="107"/>
      <c r="F19" s="233"/>
      <c r="G19" s="106"/>
    </row>
    <row r="20" spans="1:9" ht="15">
      <c r="A20" s="201" t="s">
        <v>45</v>
      </c>
      <c r="B20" s="106"/>
      <c r="C20" s="107"/>
      <c r="D20" s="107"/>
      <c r="E20" s="107"/>
      <c r="F20" s="233"/>
      <c r="G20" s="106"/>
    </row>
    <row r="21" spans="1:9" ht="15">
      <c r="A21" s="204"/>
      <c r="B21" s="106"/>
      <c r="C21" s="107"/>
      <c r="D21" s="107"/>
      <c r="E21" s="107"/>
      <c r="F21" s="233"/>
      <c r="G21" s="106"/>
    </row>
    <row r="22" spans="1:9" ht="15">
      <c r="A22" s="156" t="s">
        <v>98</v>
      </c>
      <c r="B22" s="82"/>
      <c r="C22" s="109"/>
      <c r="D22" s="109"/>
      <c r="E22" s="83"/>
      <c r="F22" s="84"/>
      <c r="G22" s="616"/>
    </row>
    <row r="23" spans="1:9" ht="15">
      <c r="A23" s="156" t="s">
        <v>97</v>
      </c>
      <c r="B23" s="226"/>
      <c r="C23" s="110"/>
      <c r="D23" s="110"/>
      <c r="E23" s="111"/>
      <c r="F23" s="80"/>
      <c r="G23" s="616"/>
    </row>
  </sheetData>
  <mergeCells count="6">
    <mergeCell ref="G22:G23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80" zoomScaleNormal="80" zoomScaleSheetLayoutView="75" workbookViewId="0">
      <selection activeCell="H30" sqref="H30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bestFit="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19" t="s">
        <v>0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54"/>
    </row>
    <row r="2" spans="1:14" ht="18">
      <c r="B2" s="620" t="s">
        <v>40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54"/>
    </row>
    <row r="3" spans="1:14" ht="18">
      <c r="A3" s="56"/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3"/>
      <c r="I7" s="54"/>
      <c r="K7" s="59"/>
      <c r="L7" s="90"/>
    </row>
    <row r="8" spans="1:14" ht="18" customHeight="1">
      <c r="A8" s="621" t="s">
        <v>118</v>
      </c>
      <c r="B8" s="621"/>
      <c r="C8" s="457" t="s">
        <v>17</v>
      </c>
      <c r="D8" s="217" t="s">
        <v>18</v>
      </c>
      <c r="E8" s="624" t="s">
        <v>19</v>
      </c>
      <c r="F8" s="624"/>
      <c r="G8" s="273" t="s">
        <v>37</v>
      </c>
      <c r="H8" s="624" t="s">
        <v>18</v>
      </c>
      <c r="I8" s="624"/>
      <c r="J8" s="624"/>
      <c r="K8" s="624"/>
      <c r="L8" s="624"/>
      <c r="M8" s="95"/>
    </row>
    <row r="9" spans="1:14" ht="30">
      <c r="A9" s="622"/>
      <c r="B9" s="622"/>
      <c r="C9" s="458" t="s">
        <v>21</v>
      </c>
      <c r="D9" s="222" t="s">
        <v>38</v>
      </c>
      <c r="E9" s="625" t="s">
        <v>23</v>
      </c>
      <c r="F9" s="625"/>
      <c r="G9" s="96" t="s">
        <v>18</v>
      </c>
      <c r="H9" s="97" t="s">
        <v>41</v>
      </c>
      <c r="I9" s="97" t="s">
        <v>42</v>
      </c>
      <c r="J9" s="97" t="s">
        <v>28</v>
      </c>
      <c r="K9" s="97" t="s">
        <v>43</v>
      </c>
      <c r="L9" s="97" t="s">
        <v>44</v>
      </c>
      <c r="M9" s="98"/>
    </row>
    <row r="10" spans="1:14" s="99" customFormat="1" ht="15">
      <c r="A10" s="402" t="str">
        <f>+'COLON via TAO'!A11</f>
        <v>MERATUS JAYAGIRI</v>
      </c>
      <c r="B10" s="402" t="str">
        <f>+'COLON via TAO'!B11</f>
        <v>035E</v>
      </c>
      <c r="C10" s="402">
        <f>+'COLON via TAO'!C11</f>
        <v>45507</v>
      </c>
      <c r="D10" s="405">
        <f>C10+8</f>
        <v>45515</v>
      </c>
      <c r="E10" s="525" t="s">
        <v>31</v>
      </c>
      <c r="F10" s="525" t="s">
        <v>31</v>
      </c>
      <c r="G10" s="461">
        <v>45519</v>
      </c>
      <c r="H10" s="461">
        <f>G10+17</f>
        <v>45536</v>
      </c>
      <c r="I10" s="461">
        <f>G10+22</f>
        <v>45541</v>
      </c>
      <c r="J10" s="461">
        <f>+G10+29</f>
        <v>45548</v>
      </c>
      <c r="K10" s="461">
        <f>G10+34</f>
        <v>45553</v>
      </c>
      <c r="L10" s="461">
        <f>G10+36</f>
        <v>45555</v>
      </c>
      <c r="M10" s="456" t="s">
        <v>103</v>
      </c>
      <c r="N10" s="100"/>
    </row>
    <row r="11" spans="1:14" s="99" customFormat="1" ht="18" customHeight="1">
      <c r="A11" s="402" t="str">
        <f>+'COLON via TAO'!A12</f>
        <v>ZHONG HANG SHENG</v>
      </c>
      <c r="B11" s="402" t="str">
        <f>+'COLON via TAO'!B12</f>
        <v>176E</v>
      </c>
      <c r="C11" s="402">
        <f>+'COLON via TAO'!C12</f>
        <v>45514</v>
      </c>
      <c r="D11" s="405">
        <f>C11+8</f>
        <v>45522</v>
      </c>
      <c r="E11" s="525" t="s">
        <v>262</v>
      </c>
      <c r="F11" s="525" t="s">
        <v>263</v>
      </c>
      <c r="G11" s="461">
        <f t="shared" ref="G11:G14" si="0">+G10+7</f>
        <v>45526</v>
      </c>
      <c r="H11" s="461">
        <f>G11+17</f>
        <v>45543</v>
      </c>
      <c r="I11" s="461">
        <f>G11+22</f>
        <v>45548</v>
      </c>
      <c r="J11" s="461">
        <f>+G11+29</f>
        <v>45555</v>
      </c>
      <c r="K11" s="461">
        <f>G11+34</f>
        <v>45560</v>
      </c>
      <c r="L11" s="461">
        <f>G11+36</f>
        <v>45562</v>
      </c>
      <c r="M11" s="456"/>
      <c r="N11" s="100"/>
    </row>
    <row r="12" spans="1:14" s="99" customFormat="1" ht="18" customHeight="1">
      <c r="A12" s="402" t="str">
        <f>+'COLON via TAO'!A13</f>
        <v>X-PRESS KARAKORAM</v>
      </c>
      <c r="B12" s="402" t="str">
        <f>+'COLON via TAO'!B13</f>
        <v>013E</v>
      </c>
      <c r="C12" s="402">
        <f>+'COLON via TAO'!C13</f>
        <v>45521</v>
      </c>
      <c r="D12" s="405">
        <f t="shared" ref="D12:D13" si="1">C12+8</f>
        <v>45529</v>
      </c>
      <c r="E12" s="525" t="s">
        <v>264</v>
      </c>
      <c r="F12" s="462" t="s">
        <v>265</v>
      </c>
      <c r="G12" s="461">
        <f t="shared" si="0"/>
        <v>45533</v>
      </c>
      <c r="H12" s="461">
        <f t="shared" ref="H12:H13" si="2">G12+17</f>
        <v>45550</v>
      </c>
      <c r="I12" s="461">
        <f t="shared" ref="I12:I13" si="3">G12+22</f>
        <v>45555</v>
      </c>
      <c r="J12" s="461">
        <f t="shared" ref="J12:J13" si="4">+G12+29</f>
        <v>45562</v>
      </c>
      <c r="K12" s="461">
        <f t="shared" ref="K12:K13" si="5">G12+34</f>
        <v>45567</v>
      </c>
      <c r="L12" s="461">
        <f t="shared" ref="L12:L13" si="6">G12+36</f>
        <v>45569</v>
      </c>
      <c r="M12" s="456"/>
      <c r="N12" s="100"/>
    </row>
    <row r="13" spans="1:14" s="99" customFormat="1" ht="18" customHeight="1">
      <c r="A13" s="402" t="str">
        <f>+'COLON via TAO'!A14</f>
        <v>AS PAMELA</v>
      </c>
      <c r="B13" s="402" t="str">
        <f>+'COLON via TAO'!B14</f>
        <v>068E</v>
      </c>
      <c r="C13" s="402">
        <f>+'COLON via TAO'!C14</f>
        <v>45528</v>
      </c>
      <c r="D13" s="405">
        <f t="shared" si="1"/>
        <v>45536</v>
      </c>
      <c r="E13" s="525" t="s">
        <v>266</v>
      </c>
      <c r="F13" s="462" t="s">
        <v>267</v>
      </c>
      <c r="G13" s="461">
        <f t="shared" si="0"/>
        <v>45540</v>
      </c>
      <c r="H13" s="461">
        <f t="shared" si="2"/>
        <v>45557</v>
      </c>
      <c r="I13" s="461">
        <f t="shared" si="3"/>
        <v>45562</v>
      </c>
      <c r="J13" s="461">
        <f t="shared" si="4"/>
        <v>45569</v>
      </c>
      <c r="K13" s="461">
        <f t="shared" si="5"/>
        <v>45574</v>
      </c>
      <c r="L13" s="461">
        <f t="shared" si="6"/>
        <v>45576</v>
      </c>
      <c r="M13" s="456"/>
      <c r="N13" s="100"/>
    </row>
    <row r="14" spans="1:14" s="99" customFormat="1" ht="18" customHeight="1">
      <c r="A14" s="402" t="str">
        <f>+'COLON via TAO'!A15</f>
        <v>MERATUS JAYAGIRI</v>
      </c>
      <c r="B14" s="402" t="str">
        <f>+'COLON via TAO'!B15</f>
        <v>036E</v>
      </c>
      <c r="C14" s="402">
        <f>+'COLON via TAO'!C15</f>
        <v>45535</v>
      </c>
      <c r="D14" s="405">
        <f t="shared" ref="D14" si="7">C14+8</f>
        <v>45543</v>
      </c>
      <c r="E14" s="525" t="s">
        <v>268</v>
      </c>
      <c r="F14" s="462" t="s">
        <v>269</v>
      </c>
      <c r="G14" s="461">
        <f t="shared" si="0"/>
        <v>45547</v>
      </c>
      <c r="H14" s="461">
        <f t="shared" ref="H14" si="8">G14+17</f>
        <v>45564</v>
      </c>
      <c r="I14" s="461">
        <f t="shared" ref="I14" si="9">G14+22</f>
        <v>45569</v>
      </c>
      <c r="J14" s="461">
        <f t="shared" ref="J14" si="10">+G14+29</f>
        <v>45576</v>
      </c>
      <c r="K14" s="461">
        <f t="shared" ref="K14" si="11">G14+34</f>
        <v>45581</v>
      </c>
      <c r="L14" s="461">
        <f t="shared" ref="L14" si="12">G14+36</f>
        <v>45583</v>
      </c>
      <c r="M14" s="456"/>
      <c r="N14" s="100"/>
    </row>
    <row r="15" spans="1:14" s="99" customFormat="1" ht="18" customHeight="1">
      <c r="A15" s="560"/>
      <c r="B15" s="560"/>
      <c r="C15" s="560"/>
      <c r="D15" s="561"/>
      <c r="E15" s="562"/>
      <c r="F15" s="562"/>
      <c r="G15" s="563"/>
      <c r="H15" s="563"/>
      <c r="I15" s="563"/>
      <c r="J15" s="563"/>
      <c r="K15" s="563"/>
      <c r="L15" s="563"/>
      <c r="M15" s="456"/>
      <c r="N15" s="100"/>
    </row>
    <row r="16" spans="1:14" ht="15">
      <c r="B16" s="243"/>
      <c r="C16" s="68"/>
      <c r="D16" s="69"/>
      <c r="E16" s="234"/>
      <c r="F16" s="70"/>
      <c r="G16" s="70"/>
      <c r="H16" s="70"/>
      <c r="L16" s="66" t="s">
        <v>32</v>
      </c>
    </row>
    <row r="17" spans="1:12" s="117" customFormat="1" ht="15">
      <c r="A17" s="199" t="s">
        <v>33</v>
      </c>
      <c r="B17" s="250"/>
      <c r="C17" s="113"/>
      <c r="D17" s="114"/>
      <c r="E17" s="115"/>
      <c r="F17" s="242"/>
      <c r="G17" s="116"/>
      <c r="H17" s="627"/>
      <c r="I17" s="627"/>
    </row>
    <row r="18" spans="1:12" ht="15">
      <c r="A18" s="200" t="s">
        <v>34</v>
      </c>
      <c r="B18" s="245"/>
      <c r="C18" s="78"/>
      <c r="D18" s="79"/>
      <c r="E18" s="80"/>
      <c r="F18" s="239"/>
      <c r="G18" s="118"/>
      <c r="H18" s="623"/>
      <c r="I18" s="623"/>
    </row>
    <row r="19" spans="1:12" ht="15">
      <c r="A19" s="201" t="s">
        <v>45</v>
      </c>
      <c r="B19" s="249"/>
      <c r="C19" s="71"/>
      <c r="D19" s="79"/>
      <c r="E19" s="81"/>
      <c r="F19" s="241"/>
    </row>
    <row r="20" spans="1:12" ht="15">
      <c r="A20" s="198"/>
      <c r="B20" s="109"/>
      <c r="C20" s="82"/>
      <c r="D20" s="83"/>
      <c r="E20" s="84"/>
      <c r="F20" s="238"/>
    </row>
    <row r="21" spans="1:12" ht="15">
      <c r="A21" s="156" t="s">
        <v>98</v>
      </c>
      <c r="B21" s="247"/>
      <c r="C21" s="119"/>
      <c r="D21" s="111"/>
      <c r="E21" s="80"/>
      <c r="F21" s="239"/>
    </row>
    <row r="22" spans="1:12" ht="15">
      <c r="A22" s="156" t="s">
        <v>97</v>
      </c>
    </row>
    <row r="31" spans="1:12">
      <c r="L31" s="540"/>
    </row>
  </sheetData>
  <mergeCells count="9">
    <mergeCell ref="H18:I18"/>
    <mergeCell ref="E8:F8"/>
    <mergeCell ref="E9:F9"/>
    <mergeCell ref="B1:L1"/>
    <mergeCell ref="B2:L2"/>
    <mergeCell ref="B3:L3"/>
    <mergeCell ref="H17:I17"/>
    <mergeCell ref="H8:L8"/>
    <mergeCell ref="A8:B9"/>
  </mergeCells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="80" zoomScaleNormal="80" workbookViewId="0">
      <selection activeCell="G29" sqref="G29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19" t="s">
        <v>0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54"/>
    </row>
    <row r="2" spans="1:15" ht="18">
      <c r="B2" s="620" t="s">
        <v>46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54"/>
    </row>
    <row r="3" spans="1:15" ht="18">
      <c r="B3" s="614" t="s">
        <v>13</v>
      </c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54"/>
    </row>
    <row r="4" spans="1:15" ht="18">
      <c r="B4" s="619" t="s">
        <v>47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21" t="s">
        <v>121</v>
      </c>
      <c r="B8" s="621"/>
      <c r="C8" s="466" t="s">
        <v>17</v>
      </c>
      <c r="D8" s="217" t="s">
        <v>18</v>
      </c>
      <c r="E8" s="624" t="s">
        <v>19</v>
      </c>
      <c r="F8" s="624"/>
      <c r="G8" s="206" t="s">
        <v>37</v>
      </c>
      <c r="H8" s="624" t="s">
        <v>18</v>
      </c>
      <c r="I8" s="624"/>
      <c r="J8" s="624"/>
      <c r="K8" s="624"/>
      <c r="L8" s="624"/>
      <c r="M8" s="624"/>
      <c r="N8" s="624"/>
    </row>
    <row r="9" spans="1:15" ht="30">
      <c r="A9" s="622"/>
      <c r="B9" s="622"/>
      <c r="C9" s="467" t="s">
        <v>21</v>
      </c>
      <c r="D9" s="222" t="s">
        <v>38</v>
      </c>
      <c r="E9" s="625" t="s">
        <v>23</v>
      </c>
      <c r="F9" s="625"/>
      <c r="G9" s="96" t="s">
        <v>18</v>
      </c>
      <c r="H9" s="97" t="s">
        <v>48</v>
      </c>
      <c r="I9" s="231" t="s">
        <v>49</v>
      </c>
      <c r="J9" s="97" t="s">
        <v>50</v>
      </c>
      <c r="K9" s="97" t="s">
        <v>51</v>
      </c>
      <c r="L9" s="97" t="s">
        <v>52</v>
      </c>
      <c r="M9" s="97" t="s">
        <v>53</v>
      </c>
      <c r="N9" s="232" t="s">
        <v>100</v>
      </c>
    </row>
    <row r="10" spans="1:15" s="99" customFormat="1" ht="19.899999999999999" customHeight="1">
      <c r="A10" s="402" t="str">
        <f>+'WCSA via TAO'!A10</f>
        <v>MERATUS JAYAGIRI</v>
      </c>
      <c r="B10" s="402" t="str">
        <f>+'WCSA via TAO'!B10</f>
        <v>035E</v>
      </c>
      <c r="C10" s="402">
        <f>+'WCSA via TAO'!C10</f>
        <v>45507</v>
      </c>
      <c r="D10" s="405">
        <f>C10+8</f>
        <v>45515</v>
      </c>
      <c r="E10" s="468" t="s">
        <v>270</v>
      </c>
      <c r="F10" s="468" t="s">
        <v>271</v>
      </c>
      <c r="G10" s="469">
        <v>45517</v>
      </c>
      <c r="H10" s="470">
        <f>G10+19</f>
        <v>45536</v>
      </c>
      <c r="I10" s="470">
        <f>G10+24</f>
        <v>45541</v>
      </c>
      <c r="J10" s="470">
        <f>G10+25</f>
        <v>45542</v>
      </c>
      <c r="K10" s="470">
        <f>G10+28</f>
        <v>45545</v>
      </c>
      <c r="L10" s="470">
        <f>G10+30</f>
        <v>45547</v>
      </c>
      <c r="M10" s="470">
        <f>G10+34</f>
        <v>45551</v>
      </c>
      <c r="N10" s="470">
        <f>M10+7</f>
        <v>45558</v>
      </c>
      <c r="O10" s="459" t="s">
        <v>58</v>
      </c>
    </row>
    <row r="11" spans="1:15" s="99" customFormat="1" ht="19.899999999999999" customHeight="1">
      <c r="A11" s="402" t="str">
        <f>+'WCSA via TAO'!A11</f>
        <v>ZHONG HANG SHENG</v>
      </c>
      <c r="B11" s="402" t="str">
        <f>+'WCSA via TAO'!B11</f>
        <v>176E</v>
      </c>
      <c r="C11" s="402">
        <f>+'WCSA via TAO'!C11</f>
        <v>45514</v>
      </c>
      <c r="D11" s="405">
        <f>C11+8</f>
        <v>45522</v>
      </c>
      <c r="E11" s="468" t="s">
        <v>272</v>
      </c>
      <c r="F11" s="468" t="s">
        <v>273</v>
      </c>
      <c r="G11" s="469">
        <f t="shared" ref="G11:G12" si="0">+G10+7</f>
        <v>45524</v>
      </c>
      <c r="H11" s="469">
        <f>G11+19</f>
        <v>45543</v>
      </c>
      <c r="I11" s="469">
        <f>G11+24</f>
        <v>45548</v>
      </c>
      <c r="J11" s="469">
        <f>G11+25</f>
        <v>45549</v>
      </c>
      <c r="K11" s="469">
        <f>G11+28</f>
        <v>45552</v>
      </c>
      <c r="L11" s="469">
        <f>G11+30</f>
        <v>45554</v>
      </c>
      <c r="M11" s="469">
        <f>G11+34</f>
        <v>45558</v>
      </c>
      <c r="N11" s="469">
        <f>M11+7</f>
        <v>45565</v>
      </c>
      <c r="O11" s="459"/>
    </row>
    <row r="12" spans="1:15" s="99" customFormat="1" ht="19.899999999999999" customHeight="1">
      <c r="A12" s="402" t="str">
        <f>+'WCSA via TAO'!A12</f>
        <v>X-PRESS KARAKORAM</v>
      </c>
      <c r="B12" s="402" t="str">
        <f>+'WCSA via TAO'!B12</f>
        <v>013E</v>
      </c>
      <c r="C12" s="402">
        <f>+'WCSA via TAO'!C12</f>
        <v>45521</v>
      </c>
      <c r="D12" s="405">
        <f t="shared" ref="D12:D13" si="1">C12+8</f>
        <v>45529</v>
      </c>
      <c r="E12" s="468" t="s">
        <v>274</v>
      </c>
      <c r="F12" s="468" t="s">
        <v>275</v>
      </c>
      <c r="G12" s="469">
        <f t="shared" si="0"/>
        <v>45531</v>
      </c>
      <c r="H12" s="469">
        <f t="shared" ref="H12:H13" si="2">G12+19</f>
        <v>45550</v>
      </c>
      <c r="I12" s="469">
        <f t="shared" ref="I12:I13" si="3">G12+24</f>
        <v>45555</v>
      </c>
      <c r="J12" s="469">
        <f t="shared" ref="J12:J13" si="4">G12+25</f>
        <v>45556</v>
      </c>
      <c r="K12" s="469">
        <f t="shared" ref="K12:K13" si="5">G12+28</f>
        <v>45559</v>
      </c>
      <c r="L12" s="469">
        <f t="shared" ref="L12:L13" si="6">G12+30</f>
        <v>45561</v>
      </c>
      <c r="M12" s="469">
        <f t="shared" ref="M12:M13" si="7">G12+34</f>
        <v>45565</v>
      </c>
      <c r="N12" s="469">
        <f t="shared" ref="N12:N13" si="8">M12+7</f>
        <v>45572</v>
      </c>
      <c r="O12" s="459"/>
    </row>
    <row r="13" spans="1:15" s="99" customFormat="1" ht="19.899999999999999" customHeight="1">
      <c r="A13" s="402" t="str">
        <f>+'WCSA via TAO'!A13</f>
        <v>AS PAMELA</v>
      </c>
      <c r="B13" s="402" t="str">
        <f>+'WCSA via TAO'!B13</f>
        <v>068E</v>
      </c>
      <c r="C13" s="402">
        <f>+'WCSA via TAO'!C13</f>
        <v>45528</v>
      </c>
      <c r="D13" s="405">
        <f t="shared" si="1"/>
        <v>45536</v>
      </c>
      <c r="E13" s="468" t="s">
        <v>276</v>
      </c>
      <c r="F13" s="468" t="s">
        <v>277</v>
      </c>
      <c r="G13" s="469">
        <f>+G12+7</f>
        <v>45538</v>
      </c>
      <c r="H13" s="469">
        <f t="shared" si="2"/>
        <v>45557</v>
      </c>
      <c r="I13" s="469">
        <f t="shared" si="3"/>
        <v>45562</v>
      </c>
      <c r="J13" s="469">
        <f t="shared" si="4"/>
        <v>45563</v>
      </c>
      <c r="K13" s="469">
        <f t="shared" si="5"/>
        <v>45566</v>
      </c>
      <c r="L13" s="469">
        <f t="shared" si="6"/>
        <v>45568</v>
      </c>
      <c r="M13" s="469">
        <f t="shared" si="7"/>
        <v>45572</v>
      </c>
      <c r="N13" s="469">
        <f t="shared" si="8"/>
        <v>45579</v>
      </c>
      <c r="O13" s="459"/>
    </row>
    <row r="14" spans="1:15" s="99" customFormat="1" ht="19.899999999999999" customHeight="1">
      <c r="A14" s="402" t="str">
        <f>+'WCSA via TAO'!A14</f>
        <v>MERATUS JAYAGIRI</v>
      </c>
      <c r="B14" s="402" t="str">
        <f>+'WCSA via TAO'!B14</f>
        <v>036E</v>
      </c>
      <c r="C14" s="402">
        <f>+'WCSA via TAO'!C14</f>
        <v>45535</v>
      </c>
      <c r="D14" s="405">
        <f t="shared" ref="D14" si="9">C14+8</f>
        <v>45543</v>
      </c>
      <c r="E14" s="468" t="s">
        <v>278</v>
      </c>
      <c r="F14" s="468" t="s">
        <v>279</v>
      </c>
      <c r="G14" s="469">
        <f>+G13+7</f>
        <v>45545</v>
      </c>
      <c r="H14" s="469">
        <f t="shared" ref="H14" si="10">G14+19</f>
        <v>45564</v>
      </c>
      <c r="I14" s="469">
        <f t="shared" ref="I14" si="11">G14+24</f>
        <v>45569</v>
      </c>
      <c r="J14" s="469">
        <f t="shared" ref="J14" si="12">G14+25</f>
        <v>45570</v>
      </c>
      <c r="K14" s="469">
        <f t="shared" ref="K14" si="13">G14+28</f>
        <v>45573</v>
      </c>
      <c r="L14" s="469">
        <f t="shared" ref="L14" si="14">G14+30</f>
        <v>45575</v>
      </c>
      <c r="M14" s="469">
        <f t="shared" ref="M14" si="15">G14+34</f>
        <v>45579</v>
      </c>
      <c r="N14" s="469">
        <f t="shared" ref="N14" si="16">M14+7</f>
        <v>45586</v>
      </c>
      <c r="O14" s="459"/>
    </row>
    <row r="15" spans="1:15" ht="15">
      <c r="A15" s="433"/>
      <c r="B15" s="433"/>
      <c r="C15" s="434"/>
      <c r="D15" s="434"/>
      <c r="E15" s="435"/>
      <c r="F15" s="435"/>
      <c r="G15" s="436"/>
      <c r="H15" s="436"/>
      <c r="I15" s="436"/>
      <c r="J15" s="436"/>
      <c r="K15" s="436"/>
      <c r="L15" s="436"/>
      <c r="M15" s="436"/>
      <c r="N15" s="436"/>
    </row>
    <row r="16" spans="1:15" ht="15">
      <c r="A16" s="67" t="s">
        <v>33</v>
      </c>
      <c r="B16" s="243"/>
      <c r="C16" s="68"/>
      <c r="D16" s="69"/>
      <c r="E16" s="235"/>
      <c r="F16" s="70"/>
      <c r="G16" s="70"/>
    </row>
    <row r="17" spans="1:14" ht="15">
      <c r="A17" s="123" t="s">
        <v>34</v>
      </c>
      <c r="B17" s="244"/>
      <c r="C17" s="75"/>
      <c r="D17" s="76"/>
      <c r="E17" s="235"/>
      <c r="F17" s="70"/>
      <c r="G17" s="70"/>
      <c r="H17" s="158"/>
      <c r="I17" s="158"/>
    </row>
    <row r="18" spans="1:14" ht="15">
      <c r="A18" s="108" t="s">
        <v>45</v>
      </c>
      <c r="B18" s="245"/>
      <c r="C18" s="78"/>
      <c r="D18" s="79"/>
      <c r="E18" s="236"/>
      <c r="F18" s="239"/>
      <c r="G18" s="118"/>
      <c r="H18" s="158"/>
      <c r="I18" s="158"/>
      <c r="N18" s="66" t="s">
        <v>32</v>
      </c>
    </row>
    <row r="19" spans="1:14" ht="15">
      <c r="A19" s="71"/>
      <c r="B19" s="246"/>
      <c r="C19" s="72"/>
      <c r="D19" s="73"/>
      <c r="E19" s="251"/>
      <c r="F19" s="278"/>
      <c r="G19" s="70"/>
    </row>
    <row r="20" spans="1:14" ht="15">
      <c r="A20" s="156" t="s">
        <v>98</v>
      </c>
      <c r="B20" s="109"/>
      <c r="C20" s="82"/>
      <c r="D20" s="83"/>
      <c r="E20" s="237"/>
      <c r="F20" s="238"/>
      <c r="G20" s="118"/>
      <c r="H20" s="158"/>
      <c r="I20" s="158"/>
    </row>
    <row r="21" spans="1:14" ht="15">
      <c r="A21" s="156" t="s">
        <v>97</v>
      </c>
      <c r="B21" s="247"/>
      <c r="C21" s="119"/>
      <c r="D21" s="111"/>
      <c r="E21" s="236"/>
      <c r="F21" s="239"/>
      <c r="G21" s="70"/>
      <c r="H21" s="158"/>
      <c r="I21" s="158"/>
    </row>
    <row r="22" spans="1:14" ht="15" thickBot="1"/>
    <row r="23" spans="1:14" ht="15.75" thickBot="1">
      <c r="A23" s="191" t="s">
        <v>54</v>
      </c>
      <c r="B23" s="248"/>
      <c r="C23" s="192"/>
      <c r="D23" s="192"/>
      <c r="E23" s="192"/>
      <c r="F23" s="279"/>
      <c r="G23" s="192"/>
      <c r="H23" s="192"/>
      <c r="I23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5"/>
  <sheetViews>
    <sheetView showGridLines="0" tabSelected="1" topLeftCell="A2" zoomScale="70" zoomScaleNormal="70" workbookViewId="0">
      <selection activeCell="S9" sqref="S9:S12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3" width="8" style="292"/>
    <col min="14" max="14" width="17.77734375" style="292" customWidth="1"/>
    <col min="15" max="15" width="8" style="292"/>
    <col min="16" max="16" width="8.88671875" style="292" bestFit="1" customWidth="1"/>
    <col min="17" max="17" width="10" style="292" customWidth="1"/>
    <col min="18" max="18" width="8" style="292"/>
    <col min="19" max="19" width="6.44140625" style="124" bestFit="1" customWidth="1"/>
    <col min="20" max="16384" width="8" style="124"/>
  </cols>
  <sheetData>
    <row r="1" spans="1:21" ht="18">
      <c r="B1" s="629" t="s">
        <v>0</v>
      </c>
      <c r="C1" s="629"/>
      <c r="D1" s="629"/>
      <c r="E1" s="629"/>
      <c r="F1" s="629"/>
      <c r="G1" s="629"/>
      <c r="H1" s="629"/>
      <c r="I1" s="629"/>
      <c r="J1" s="629"/>
      <c r="K1" s="629"/>
      <c r="S1" s="128"/>
    </row>
    <row r="2" spans="1:21" ht="18">
      <c r="B2" s="628" t="s">
        <v>106</v>
      </c>
      <c r="C2" s="628"/>
      <c r="D2" s="628"/>
      <c r="E2" s="628"/>
      <c r="F2" s="628"/>
      <c r="G2" s="628"/>
      <c r="H2" s="628"/>
      <c r="I2" s="628"/>
      <c r="J2" s="628"/>
      <c r="K2" s="628"/>
      <c r="S2" s="128"/>
    </row>
    <row r="3" spans="1:21" ht="18">
      <c r="B3" s="594" t="s">
        <v>76</v>
      </c>
      <c r="C3" s="594"/>
      <c r="D3" s="594"/>
      <c r="E3" s="594"/>
      <c r="F3" s="594"/>
      <c r="G3" s="594"/>
      <c r="H3" s="594"/>
      <c r="I3" s="594"/>
      <c r="J3" s="594"/>
      <c r="K3" s="594"/>
      <c r="L3" s="291"/>
      <c r="S3" s="131"/>
    </row>
    <row r="4" spans="1:21" ht="15.75" customHeight="1"/>
    <row r="5" spans="1:21">
      <c r="A5" s="195" t="s">
        <v>14</v>
      </c>
    </row>
    <row r="6" spans="1:21" ht="18" customHeight="1">
      <c r="A6" s="630" t="s">
        <v>120</v>
      </c>
      <c r="B6" s="631"/>
      <c r="C6" s="534" t="s">
        <v>17</v>
      </c>
      <c r="D6" s="265" t="s">
        <v>18</v>
      </c>
      <c r="E6" s="634" t="s">
        <v>19</v>
      </c>
      <c r="F6" s="635"/>
      <c r="G6" s="343" t="s">
        <v>60</v>
      </c>
      <c r="H6" s="637" t="s">
        <v>18</v>
      </c>
      <c r="I6" s="638"/>
      <c r="J6" s="638"/>
      <c r="K6" s="638"/>
      <c r="L6" s="638"/>
      <c r="M6" s="638"/>
      <c r="N6" s="638"/>
      <c r="O6" s="638"/>
      <c r="P6" s="638"/>
      <c r="Q6" s="638"/>
      <c r="R6" s="639"/>
    </row>
    <row r="7" spans="1:21" s="296" customFormat="1" ht="70.5" customHeight="1">
      <c r="A7" s="632"/>
      <c r="B7" s="633"/>
      <c r="C7" s="488" t="s">
        <v>21</v>
      </c>
      <c r="D7" s="401" t="s">
        <v>61</v>
      </c>
      <c r="E7" s="636" t="s">
        <v>23</v>
      </c>
      <c r="F7" s="636"/>
      <c r="G7" s="344" t="s">
        <v>18</v>
      </c>
      <c r="H7" s="293" t="s">
        <v>77</v>
      </c>
      <c r="I7" s="294" t="s">
        <v>78</v>
      </c>
      <c r="J7" s="295" t="s">
        <v>79</v>
      </c>
      <c r="K7" s="295" t="s">
        <v>107</v>
      </c>
      <c r="L7" s="430" t="s">
        <v>81</v>
      </c>
      <c r="M7" s="430" t="s">
        <v>82</v>
      </c>
      <c r="N7" s="277" t="s">
        <v>83</v>
      </c>
      <c r="O7" s="277" t="s">
        <v>84</v>
      </c>
      <c r="P7" s="277" t="s">
        <v>85</v>
      </c>
      <c r="Q7" s="277" t="s">
        <v>86</v>
      </c>
      <c r="R7" s="277" t="s">
        <v>87</v>
      </c>
    </row>
    <row r="8" spans="1:21" ht="18" customHeight="1">
      <c r="A8" s="485"/>
      <c r="B8" s="486"/>
      <c r="C8" s="489"/>
      <c r="D8" s="491"/>
      <c r="E8" s="517" t="s">
        <v>138</v>
      </c>
      <c r="F8" s="471" t="s">
        <v>139</v>
      </c>
      <c r="G8" s="472">
        <v>45483</v>
      </c>
      <c r="H8" s="472">
        <f>G8+15</f>
        <v>45498</v>
      </c>
      <c r="I8" s="473" t="s">
        <v>31</v>
      </c>
      <c r="J8" s="473" t="s">
        <v>31</v>
      </c>
      <c r="K8" s="473" t="s">
        <v>31</v>
      </c>
      <c r="L8" s="473" t="s">
        <v>31</v>
      </c>
      <c r="M8" s="473" t="s">
        <v>31</v>
      </c>
      <c r="N8" s="473" t="s">
        <v>31</v>
      </c>
      <c r="O8" s="473" t="s">
        <v>31</v>
      </c>
      <c r="P8" s="473" t="s">
        <v>31</v>
      </c>
      <c r="Q8" s="473" t="s">
        <v>31</v>
      </c>
      <c r="R8" s="473" t="s">
        <v>31</v>
      </c>
      <c r="S8" s="178" t="s">
        <v>91</v>
      </c>
      <c r="T8"/>
      <c r="U8"/>
    </row>
    <row r="9" spans="1:21" ht="18" customHeight="1">
      <c r="A9" s="483"/>
      <c r="B9" s="484"/>
      <c r="C9" s="351"/>
      <c r="D9" s="492"/>
      <c r="E9" s="397" t="s">
        <v>133</v>
      </c>
      <c r="F9" s="341" t="s">
        <v>134</v>
      </c>
      <c r="G9" s="310">
        <v>45487</v>
      </c>
      <c r="H9" s="311">
        <f>+G9+18</f>
        <v>45505</v>
      </c>
      <c r="I9" s="311" t="s">
        <v>31</v>
      </c>
      <c r="J9" s="310" t="s">
        <v>31</v>
      </c>
      <c r="K9" s="310" t="s">
        <v>31</v>
      </c>
      <c r="L9" s="310" t="s">
        <v>31</v>
      </c>
      <c r="M9" s="310" t="s">
        <v>31</v>
      </c>
      <c r="N9" s="310" t="s">
        <v>31</v>
      </c>
      <c r="O9" s="310" t="s">
        <v>31</v>
      </c>
      <c r="P9" s="310" t="s">
        <v>31</v>
      </c>
      <c r="Q9" s="310" t="s">
        <v>31</v>
      </c>
      <c r="R9" s="310" t="s">
        <v>31</v>
      </c>
      <c r="S9" s="143" t="s">
        <v>92</v>
      </c>
      <c r="T9"/>
      <c r="U9"/>
    </row>
    <row r="10" spans="1:21" ht="18" customHeight="1">
      <c r="A10" s="345" t="s">
        <v>126</v>
      </c>
      <c r="B10" s="474" t="s">
        <v>136</v>
      </c>
      <c r="C10" s="440">
        <v>45480</v>
      </c>
      <c r="D10" s="493">
        <f>+C10+2</f>
        <v>45482</v>
      </c>
      <c r="E10" s="494" t="s">
        <v>144</v>
      </c>
      <c r="F10" s="410" t="s">
        <v>145</v>
      </c>
      <c r="G10" s="337">
        <v>45480</v>
      </c>
      <c r="H10" s="338" t="s">
        <v>31</v>
      </c>
      <c r="I10" s="337">
        <f>+G10+18</f>
        <v>45498</v>
      </c>
      <c r="J10" s="337">
        <f>+I10+9</f>
        <v>45507</v>
      </c>
      <c r="K10" s="337">
        <f>+J10+5</f>
        <v>45512</v>
      </c>
      <c r="L10" s="438" t="s">
        <v>31</v>
      </c>
      <c r="M10" s="339" t="s">
        <v>31</v>
      </c>
      <c r="N10" s="339" t="s">
        <v>31</v>
      </c>
      <c r="O10" s="339" t="s">
        <v>31</v>
      </c>
      <c r="P10" s="339" t="s">
        <v>31</v>
      </c>
      <c r="Q10" s="339" t="s">
        <v>31</v>
      </c>
      <c r="R10" s="339" t="s">
        <v>31</v>
      </c>
      <c r="S10" s="340" t="s">
        <v>94</v>
      </c>
      <c r="T10"/>
      <c r="U10"/>
    </row>
    <row r="11" spans="1:21" ht="18" customHeight="1">
      <c r="A11" s="503" t="s">
        <v>130</v>
      </c>
      <c r="B11" s="504" t="s">
        <v>137</v>
      </c>
      <c r="C11" s="506">
        <v>45474</v>
      </c>
      <c r="D11" s="507">
        <f>+C11+2</f>
        <v>45476</v>
      </c>
      <c r="E11" s="529" t="s">
        <v>146</v>
      </c>
      <c r="F11" s="328" t="s">
        <v>147</v>
      </c>
      <c r="G11" s="329">
        <v>45481</v>
      </c>
      <c r="H11" s="330" t="s">
        <v>31</v>
      </c>
      <c r="I11" s="330" t="s">
        <v>31</v>
      </c>
      <c r="J11" s="330" t="s">
        <v>31</v>
      </c>
      <c r="K11" s="330" t="s">
        <v>31</v>
      </c>
      <c r="L11" s="394" t="s">
        <v>31</v>
      </c>
      <c r="M11" s="331" t="s">
        <v>31</v>
      </c>
      <c r="N11" s="332">
        <f>+O11+2</f>
        <v>45508</v>
      </c>
      <c r="O11" s="332">
        <f>+G11+25</f>
        <v>45506</v>
      </c>
      <c r="P11" s="333" t="s">
        <v>31</v>
      </c>
      <c r="Q11" s="332">
        <f>+N11+2</f>
        <v>45510</v>
      </c>
      <c r="R11" s="330">
        <f>+Q11+2</f>
        <v>45512</v>
      </c>
      <c r="S11" s="290" t="s">
        <v>93</v>
      </c>
      <c r="T11"/>
      <c r="U11"/>
    </row>
    <row r="12" spans="1:21" ht="18" customHeight="1">
      <c r="C12" s="490"/>
      <c r="D12" s="422"/>
      <c r="E12" s="398" t="s">
        <v>31</v>
      </c>
      <c r="F12" s="395" t="s">
        <v>31</v>
      </c>
      <c r="G12" s="306">
        <v>45483</v>
      </c>
      <c r="H12" s="307" t="s">
        <v>31</v>
      </c>
      <c r="I12" s="307" t="s">
        <v>31</v>
      </c>
      <c r="J12" s="307" t="s">
        <v>31</v>
      </c>
      <c r="K12" s="307" t="s">
        <v>31</v>
      </c>
      <c r="L12" s="308">
        <f>+M12+3</f>
        <v>45514</v>
      </c>
      <c r="M12" s="308">
        <f>+N12+3</f>
        <v>45511</v>
      </c>
      <c r="N12" s="308">
        <f>+G12+25</f>
        <v>45508</v>
      </c>
      <c r="O12" s="309" t="s">
        <v>31</v>
      </c>
      <c r="P12" s="308">
        <f>G12+35</f>
        <v>45518</v>
      </c>
      <c r="Q12" s="309" t="s">
        <v>31</v>
      </c>
      <c r="R12" s="309" t="s">
        <v>31</v>
      </c>
      <c r="S12" s="285" t="s">
        <v>95</v>
      </c>
      <c r="T12"/>
      <c r="U12"/>
    </row>
    <row r="13" spans="1:21" s="412" customFormat="1" ht="18" customHeight="1">
      <c r="A13" s="485"/>
      <c r="B13" s="486"/>
      <c r="C13" s="489"/>
      <c r="D13" s="491"/>
      <c r="E13" s="495" t="s">
        <v>140</v>
      </c>
      <c r="F13" s="471" t="s">
        <v>141</v>
      </c>
      <c r="G13" s="472">
        <f t="shared" ref="G13:G32" si="0">+G8+7</f>
        <v>45490</v>
      </c>
      <c r="H13" s="472">
        <f>G13+15</f>
        <v>45505</v>
      </c>
      <c r="I13" s="473" t="s">
        <v>31</v>
      </c>
      <c r="J13" s="473" t="s">
        <v>31</v>
      </c>
      <c r="K13" s="473" t="s">
        <v>31</v>
      </c>
      <c r="L13" s="473" t="s">
        <v>31</v>
      </c>
      <c r="M13" s="473" t="s">
        <v>31</v>
      </c>
      <c r="N13" s="473" t="s">
        <v>31</v>
      </c>
      <c r="O13" s="473" t="s">
        <v>31</v>
      </c>
      <c r="P13" s="473" t="s">
        <v>31</v>
      </c>
      <c r="Q13" s="473" t="s">
        <v>31</v>
      </c>
      <c r="R13" s="473" t="s">
        <v>31</v>
      </c>
      <c r="S13" s="178" t="s">
        <v>91</v>
      </c>
    </row>
    <row r="14" spans="1:21" ht="18" customHeight="1">
      <c r="A14" s="483"/>
      <c r="B14" s="484"/>
      <c r="C14" s="351"/>
      <c r="D14" s="492"/>
      <c r="E14" s="397" t="s">
        <v>164</v>
      </c>
      <c r="F14" s="341" t="s">
        <v>165</v>
      </c>
      <c r="G14" s="310">
        <f>G9+7</f>
        <v>45494</v>
      </c>
      <c r="H14" s="311">
        <f>+G14+18</f>
        <v>45512</v>
      </c>
      <c r="I14" s="311" t="s">
        <v>31</v>
      </c>
      <c r="J14" s="310" t="s">
        <v>31</v>
      </c>
      <c r="K14" s="310" t="s">
        <v>31</v>
      </c>
      <c r="L14" s="310" t="s">
        <v>31</v>
      </c>
      <c r="M14" s="310" t="s">
        <v>31</v>
      </c>
      <c r="N14" s="310" t="s">
        <v>31</v>
      </c>
      <c r="O14" s="310" t="s">
        <v>31</v>
      </c>
      <c r="P14" s="310" t="s">
        <v>31</v>
      </c>
      <c r="Q14" s="310" t="s">
        <v>31</v>
      </c>
      <c r="R14" s="310" t="s">
        <v>31</v>
      </c>
      <c r="S14" s="143" t="s">
        <v>92</v>
      </c>
    </row>
    <row r="15" spans="1:21" ht="18" customHeight="1">
      <c r="A15" s="345" t="s">
        <v>124</v>
      </c>
      <c r="B15" s="474" t="s">
        <v>160</v>
      </c>
      <c r="C15" s="440">
        <f>+C10+7</f>
        <v>45487</v>
      </c>
      <c r="D15" s="493">
        <f>+C15+2</f>
        <v>45489</v>
      </c>
      <c r="E15" s="126" t="s">
        <v>31</v>
      </c>
      <c r="F15" s="126" t="s">
        <v>31</v>
      </c>
      <c r="G15" s="337">
        <f t="shared" si="0"/>
        <v>45487</v>
      </c>
      <c r="H15" s="338" t="s">
        <v>31</v>
      </c>
      <c r="I15" s="337">
        <f>+G15+18</f>
        <v>45505</v>
      </c>
      <c r="J15" s="337">
        <f>+I15+9</f>
        <v>45514</v>
      </c>
      <c r="K15" s="337">
        <f>+J15+5</f>
        <v>45519</v>
      </c>
      <c r="L15" s="438" t="s">
        <v>31</v>
      </c>
      <c r="M15" s="339" t="s">
        <v>31</v>
      </c>
      <c r="N15" s="339" t="s">
        <v>31</v>
      </c>
      <c r="O15" s="339" t="s">
        <v>31</v>
      </c>
      <c r="P15" s="339" t="s">
        <v>31</v>
      </c>
      <c r="Q15" s="339" t="s">
        <v>31</v>
      </c>
      <c r="R15" s="339" t="s">
        <v>31</v>
      </c>
      <c r="S15" s="340" t="s">
        <v>94</v>
      </c>
    </row>
    <row r="16" spans="1:21" s="412" customFormat="1" ht="18" customHeight="1">
      <c r="A16" s="503" t="s">
        <v>125</v>
      </c>
      <c r="B16" s="504" t="s">
        <v>156</v>
      </c>
      <c r="C16" s="506">
        <f>+C11+7</f>
        <v>45481</v>
      </c>
      <c r="D16" s="507">
        <f>+C16+2</f>
        <v>45483</v>
      </c>
      <c r="E16" s="529" t="s">
        <v>31</v>
      </c>
      <c r="F16" s="328" t="s">
        <v>31</v>
      </c>
      <c r="G16" s="329">
        <f>G11+7</f>
        <v>45488</v>
      </c>
      <c r="H16" s="330" t="s">
        <v>31</v>
      </c>
      <c r="I16" s="330" t="s">
        <v>31</v>
      </c>
      <c r="J16" s="330" t="s">
        <v>31</v>
      </c>
      <c r="K16" s="330" t="s">
        <v>31</v>
      </c>
      <c r="L16" s="394" t="s">
        <v>31</v>
      </c>
      <c r="M16" s="331" t="s">
        <v>31</v>
      </c>
      <c r="N16" s="332">
        <f>+O16+2</f>
        <v>45515</v>
      </c>
      <c r="O16" s="332">
        <f>+G16+25</f>
        <v>45513</v>
      </c>
      <c r="P16" s="333" t="s">
        <v>31</v>
      </c>
      <c r="Q16" s="332">
        <f>+N16+2</f>
        <v>45517</v>
      </c>
      <c r="R16" s="330">
        <f>+Q16+2</f>
        <v>45519</v>
      </c>
      <c r="S16" s="290" t="s">
        <v>93</v>
      </c>
    </row>
    <row r="17" spans="1:19" s="412" customFormat="1" ht="18" customHeight="1">
      <c r="A17" s="124"/>
      <c r="B17" s="126"/>
      <c r="C17" s="490"/>
      <c r="D17" s="422"/>
      <c r="E17" s="398" t="s">
        <v>31</v>
      </c>
      <c r="F17" s="395" t="s">
        <v>31</v>
      </c>
      <c r="G17" s="306">
        <f t="shared" si="0"/>
        <v>45490</v>
      </c>
      <c r="H17" s="307" t="s">
        <v>31</v>
      </c>
      <c r="I17" s="307" t="s">
        <v>31</v>
      </c>
      <c r="J17" s="307" t="s">
        <v>31</v>
      </c>
      <c r="K17" s="307" t="s">
        <v>31</v>
      </c>
      <c r="L17" s="308">
        <f>+M17+3</f>
        <v>45521</v>
      </c>
      <c r="M17" s="308">
        <f>+N17+3</f>
        <v>45518</v>
      </c>
      <c r="N17" s="308">
        <f>+G17+25</f>
        <v>45515</v>
      </c>
      <c r="O17" s="309" t="s">
        <v>31</v>
      </c>
      <c r="P17" s="308">
        <f>G17+35</f>
        <v>45525</v>
      </c>
      <c r="Q17" s="309" t="s">
        <v>31</v>
      </c>
      <c r="R17" s="309" t="s">
        <v>31</v>
      </c>
      <c r="S17" s="285" t="s">
        <v>95</v>
      </c>
    </row>
    <row r="18" spans="1:19" ht="18" customHeight="1">
      <c r="A18" s="408"/>
      <c r="B18" s="486"/>
      <c r="C18" s="489"/>
      <c r="D18" s="491"/>
      <c r="E18" s="517" t="s">
        <v>129</v>
      </c>
      <c r="F18" s="471" t="s">
        <v>142</v>
      </c>
      <c r="G18" s="472">
        <f t="shared" si="0"/>
        <v>45497</v>
      </c>
      <c r="H18" s="472">
        <f>G18+15</f>
        <v>45512</v>
      </c>
      <c r="I18" s="473" t="s">
        <v>31</v>
      </c>
      <c r="J18" s="473" t="s">
        <v>31</v>
      </c>
      <c r="K18" s="473" t="s">
        <v>31</v>
      </c>
      <c r="L18" s="473" t="s">
        <v>31</v>
      </c>
      <c r="M18" s="473" t="s">
        <v>31</v>
      </c>
      <c r="N18" s="473" t="s">
        <v>31</v>
      </c>
      <c r="O18" s="473" t="s">
        <v>31</v>
      </c>
      <c r="P18" s="473" t="s">
        <v>31</v>
      </c>
      <c r="Q18" s="473" t="s">
        <v>31</v>
      </c>
      <c r="R18" s="473" t="s">
        <v>31</v>
      </c>
      <c r="S18" s="178" t="s">
        <v>91</v>
      </c>
    </row>
    <row r="19" spans="1:19" ht="18" customHeight="1">
      <c r="A19" s="483"/>
      <c r="B19" s="484"/>
      <c r="C19" s="351"/>
      <c r="D19" s="492"/>
      <c r="E19" s="397" t="s">
        <v>166</v>
      </c>
      <c r="F19" s="341" t="s">
        <v>167</v>
      </c>
      <c r="G19" s="310">
        <f>+G14+7</f>
        <v>45501</v>
      </c>
      <c r="H19" s="311">
        <f>+G19+18</f>
        <v>45519</v>
      </c>
      <c r="I19" s="311" t="s">
        <v>31</v>
      </c>
      <c r="J19" s="310" t="s">
        <v>31</v>
      </c>
      <c r="K19" s="310" t="s">
        <v>31</v>
      </c>
      <c r="L19" s="310" t="s">
        <v>31</v>
      </c>
      <c r="M19" s="310" t="s">
        <v>31</v>
      </c>
      <c r="N19" s="310" t="s">
        <v>31</v>
      </c>
      <c r="O19" s="310" t="s">
        <v>31</v>
      </c>
      <c r="P19" s="310" t="s">
        <v>31</v>
      </c>
      <c r="Q19" s="310" t="s">
        <v>31</v>
      </c>
      <c r="R19" s="310" t="s">
        <v>31</v>
      </c>
      <c r="S19" s="143" t="s">
        <v>92</v>
      </c>
    </row>
    <row r="20" spans="1:19" ht="18" customHeight="1">
      <c r="A20" s="345" t="s">
        <v>126</v>
      </c>
      <c r="B20" s="439" t="s">
        <v>161</v>
      </c>
      <c r="C20" s="440">
        <f>+C15+7</f>
        <v>45494</v>
      </c>
      <c r="D20" s="493">
        <f>+C20+2</f>
        <v>45496</v>
      </c>
      <c r="E20" s="494" t="s">
        <v>175</v>
      </c>
      <c r="F20" s="410" t="s">
        <v>176</v>
      </c>
      <c r="G20" s="337">
        <f t="shared" si="0"/>
        <v>45494</v>
      </c>
      <c r="H20" s="338" t="s">
        <v>31</v>
      </c>
      <c r="I20" s="337">
        <f>+G20+18</f>
        <v>45512</v>
      </c>
      <c r="J20" s="337">
        <f>+I20+9</f>
        <v>45521</v>
      </c>
      <c r="K20" s="337">
        <f>+J20+5</f>
        <v>45526</v>
      </c>
      <c r="L20" s="438" t="s">
        <v>31</v>
      </c>
      <c r="M20" s="339" t="s">
        <v>31</v>
      </c>
      <c r="N20" s="339" t="s">
        <v>31</v>
      </c>
      <c r="O20" s="339" t="s">
        <v>31</v>
      </c>
      <c r="P20" s="339" t="s">
        <v>31</v>
      </c>
      <c r="Q20" s="339" t="s">
        <v>31</v>
      </c>
      <c r="R20" s="339" t="s">
        <v>31</v>
      </c>
      <c r="S20" s="340" t="s">
        <v>94</v>
      </c>
    </row>
    <row r="21" spans="1:19" ht="18" customHeight="1">
      <c r="A21" s="503" t="s">
        <v>130</v>
      </c>
      <c r="B21" s="504" t="s">
        <v>157</v>
      </c>
      <c r="C21" s="506">
        <f>+C16+7</f>
        <v>45488</v>
      </c>
      <c r="D21" s="507">
        <f>+C21+2</f>
        <v>45490</v>
      </c>
      <c r="E21" s="529" t="s">
        <v>181</v>
      </c>
      <c r="F21" s="568" t="s">
        <v>182</v>
      </c>
      <c r="G21" s="329">
        <f t="shared" si="0"/>
        <v>45495</v>
      </c>
      <c r="H21" s="330" t="s">
        <v>31</v>
      </c>
      <c r="I21" s="330" t="s">
        <v>31</v>
      </c>
      <c r="J21" s="330" t="s">
        <v>31</v>
      </c>
      <c r="K21" s="330" t="s">
        <v>31</v>
      </c>
      <c r="L21" s="394" t="s">
        <v>31</v>
      </c>
      <c r="M21" s="331" t="s">
        <v>31</v>
      </c>
      <c r="N21" s="332">
        <f>+O21+2</f>
        <v>45522</v>
      </c>
      <c r="O21" s="332">
        <f>+G21+25</f>
        <v>45520</v>
      </c>
      <c r="P21" s="333" t="s">
        <v>31</v>
      </c>
      <c r="Q21" s="332">
        <f>+N21+2</f>
        <v>45524</v>
      </c>
      <c r="R21" s="330">
        <f>+Q21+2</f>
        <v>45526</v>
      </c>
      <c r="S21" s="290" t="s">
        <v>93</v>
      </c>
    </row>
    <row r="22" spans="1:19" ht="18.600000000000001" customHeight="1">
      <c r="C22" s="490"/>
      <c r="D22" s="422"/>
      <c r="E22" s="398" t="s">
        <v>186</v>
      </c>
      <c r="F22" s="395" t="s">
        <v>187</v>
      </c>
      <c r="G22" s="306">
        <f t="shared" si="0"/>
        <v>45497</v>
      </c>
      <c r="H22" s="307" t="s">
        <v>31</v>
      </c>
      <c r="I22" s="307" t="s">
        <v>31</v>
      </c>
      <c r="J22" s="307" t="s">
        <v>31</v>
      </c>
      <c r="K22" s="307" t="s">
        <v>31</v>
      </c>
      <c r="L22" s="308">
        <f>+M22+3</f>
        <v>45528</v>
      </c>
      <c r="M22" s="308">
        <f>+N22+3</f>
        <v>45525</v>
      </c>
      <c r="N22" s="308">
        <f>+G22+25</f>
        <v>45522</v>
      </c>
      <c r="O22" s="309" t="s">
        <v>31</v>
      </c>
      <c r="P22" s="308">
        <f>G22+35</f>
        <v>45532</v>
      </c>
      <c r="Q22" s="309" t="s">
        <v>31</v>
      </c>
      <c r="R22" s="309" t="s">
        <v>31</v>
      </c>
      <c r="S22" s="285" t="s">
        <v>95</v>
      </c>
    </row>
    <row r="23" spans="1:19" ht="18" customHeight="1">
      <c r="A23" s="442"/>
      <c r="B23" s="486"/>
      <c r="C23" s="489"/>
      <c r="D23" s="491"/>
      <c r="E23" s="496" t="s">
        <v>171</v>
      </c>
      <c r="F23" s="348" t="s">
        <v>172</v>
      </c>
      <c r="G23" s="472">
        <f t="shared" si="0"/>
        <v>45504</v>
      </c>
      <c r="H23" s="320">
        <f>G23+15</f>
        <v>45519</v>
      </c>
      <c r="I23" s="321" t="s">
        <v>31</v>
      </c>
      <c r="J23" s="321" t="s">
        <v>31</v>
      </c>
      <c r="K23" s="321" t="s">
        <v>31</v>
      </c>
      <c r="L23" s="321" t="s">
        <v>31</v>
      </c>
      <c r="M23" s="321" t="s">
        <v>31</v>
      </c>
      <c r="N23" s="321" t="s">
        <v>31</v>
      </c>
      <c r="O23" s="321" t="s">
        <v>31</v>
      </c>
      <c r="P23" s="321" t="s">
        <v>31</v>
      </c>
      <c r="Q23" s="321" t="s">
        <v>31</v>
      </c>
      <c r="R23" s="321" t="s">
        <v>31</v>
      </c>
      <c r="S23" s="178" t="s">
        <v>91</v>
      </c>
    </row>
    <row r="24" spans="1:19" ht="18" customHeight="1">
      <c r="A24" s="483"/>
      <c r="B24" s="484"/>
      <c r="C24" s="351"/>
      <c r="D24" s="492"/>
      <c r="E24" s="397" t="s">
        <v>168</v>
      </c>
      <c r="F24" s="341" t="s">
        <v>169</v>
      </c>
      <c r="G24" s="310">
        <f t="shared" si="0"/>
        <v>45508</v>
      </c>
      <c r="H24" s="311">
        <f>+G24+18</f>
        <v>45526</v>
      </c>
      <c r="I24" s="311" t="s">
        <v>31</v>
      </c>
      <c r="J24" s="310" t="s">
        <v>31</v>
      </c>
      <c r="K24" s="310" t="s">
        <v>31</v>
      </c>
      <c r="L24" s="310" t="s">
        <v>31</v>
      </c>
      <c r="M24" s="310" t="s">
        <v>31</v>
      </c>
      <c r="N24" s="310" t="s">
        <v>31</v>
      </c>
      <c r="O24" s="310" t="s">
        <v>31</v>
      </c>
      <c r="P24" s="310" t="s">
        <v>31</v>
      </c>
      <c r="Q24" s="310" t="s">
        <v>31</v>
      </c>
      <c r="R24" s="310" t="s">
        <v>31</v>
      </c>
      <c r="S24" s="143" t="s">
        <v>92</v>
      </c>
    </row>
    <row r="25" spans="1:19" ht="18" customHeight="1">
      <c r="A25" s="345" t="s">
        <v>124</v>
      </c>
      <c r="B25" s="474" t="s">
        <v>162</v>
      </c>
      <c r="C25" s="440">
        <f>+C20+7</f>
        <v>45501</v>
      </c>
      <c r="D25" s="493">
        <f>+C25+2</f>
        <v>45503</v>
      </c>
      <c r="E25" s="494" t="s">
        <v>177</v>
      </c>
      <c r="F25" s="543" t="s">
        <v>178</v>
      </c>
      <c r="G25" s="337">
        <f t="shared" si="0"/>
        <v>45501</v>
      </c>
      <c r="H25" s="338" t="s">
        <v>31</v>
      </c>
      <c r="I25" s="337">
        <f>+G25+18</f>
        <v>45519</v>
      </c>
      <c r="J25" s="337">
        <f>+I25+9</f>
        <v>45528</v>
      </c>
      <c r="K25" s="337">
        <f>+J25+5</f>
        <v>45533</v>
      </c>
      <c r="L25" s="438" t="s">
        <v>31</v>
      </c>
      <c r="M25" s="339" t="s">
        <v>31</v>
      </c>
      <c r="N25" s="339" t="s">
        <v>31</v>
      </c>
      <c r="O25" s="339" t="s">
        <v>31</v>
      </c>
      <c r="P25" s="339" t="s">
        <v>31</v>
      </c>
      <c r="Q25" s="339" t="s">
        <v>31</v>
      </c>
      <c r="R25" s="339" t="s">
        <v>31</v>
      </c>
      <c r="S25" s="340" t="s">
        <v>94</v>
      </c>
    </row>
    <row r="26" spans="1:19" ht="18" customHeight="1">
      <c r="A26" s="503" t="s">
        <v>125</v>
      </c>
      <c r="B26" s="504" t="s">
        <v>158</v>
      </c>
      <c r="C26" s="506">
        <f>+C21+7</f>
        <v>45495</v>
      </c>
      <c r="D26" s="507">
        <f>+C26+2</f>
        <v>45497</v>
      </c>
      <c r="E26" s="529" t="s">
        <v>183</v>
      </c>
      <c r="F26" s="328" t="s">
        <v>184</v>
      </c>
      <c r="G26" s="329">
        <f t="shared" si="0"/>
        <v>45502</v>
      </c>
      <c r="H26" s="330">
        <f>G26+15</f>
        <v>45517</v>
      </c>
      <c r="I26" s="330" t="s">
        <v>31</v>
      </c>
      <c r="J26" s="330" t="s">
        <v>31</v>
      </c>
      <c r="K26" s="330" t="s">
        <v>31</v>
      </c>
      <c r="L26" s="394" t="s">
        <v>31</v>
      </c>
      <c r="M26" s="331" t="s">
        <v>31</v>
      </c>
      <c r="N26" s="332">
        <f>+O26+2</f>
        <v>45529</v>
      </c>
      <c r="O26" s="332">
        <f>+G26+25</f>
        <v>45527</v>
      </c>
      <c r="P26" s="333" t="s">
        <v>31</v>
      </c>
      <c r="Q26" s="332">
        <f>+N26+2</f>
        <v>45531</v>
      </c>
      <c r="R26" s="330">
        <f>+Q26+2</f>
        <v>45533</v>
      </c>
      <c r="S26" s="290" t="s">
        <v>93</v>
      </c>
    </row>
    <row r="27" spans="1:19" ht="18.600000000000001" customHeight="1">
      <c r="A27" s="423"/>
      <c r="B27" s="487"/>
      <c r="C27" s="490"/>
      <c r="D27" s="422"/>
      <c r="E27" s="398" t="s">
        <v>188</v>
      </c>
      <c r="F27" s="395" t="s">
        <v>180</v>
      </c>
      <c r="G27" s="306">
        <f t="shared" si="0"/>
        <v>45504</v>
      </c>
      <c r="H27" s="307" t="s">
        <v>31</v>
      </c>
      <c r="I27" s="307" t="s">
        <v>31</v>
      </c>
      <c r="J27" s="307" t="s">
        <v>31</v>
      </c>
      <c r="K27" s="307" t="s">
        <v>31</v>
      </c>
      <c r="L27" s="308">
        <f>+M27+3</f>
        <v>45535</v>
      </c>
      <c r="M27" s="308">
        <f>+N27+3</f>
        <v>45532</v>
      </c>
      <c r="N27" s="308">
        <f>+G27+25</f>
        <v>45529</v>
      </c>
      <c r="O27" s="309" t="s">
        <v>31</v>
      </c>
      <c r="P27" s="308">
        <f>G27+35</f>
        <v>45539</v>
      </c>
      <c r="Q27" s="309" t="s">
        <v>31</v>
      </c>
      <c r="R27" s="309" t="s">
        <v>31</v>
      </c>
      <c r="S27" s="285" t="s">
        <v>95</v>
      </c>
    </row>
    <row r="28" spans="1:19" ht="18" customHeight="1">
      <c r="A28" s="442"/>
      <c r="B28" s="486"/>
      <c r="C28" s="489"/>
      <c r="D28" s="491"/>
      <c r="E28" s="496" t="s">
        <v>173</v>
      </c>
      <c r="F28" s="348" t="s">
        <v>174</v>
      </c>
      <c r="G28" s="472">
        <f t="shared" si="0"/>
        <v>45511</v>
      </c>
      <c r="H28" s="320">
        <f>G28+15</f>
        <v>45526</v>
      </c>
      <c r="I28" s="321" t="s">
        <v>31</v>
      </c>
      <c r="J28" s="321" t="s">
        <v>31</v>
      </c>
      <c r="K28" s="321" t="s">
        <v>31</v>
      </c>
      <c r="L28" s="321" t="s">
        <v>31</v>
      </c>
      <c r="M28" s="321" t="s">
        <v>31</v>
      </c>
      <c r="N28" s="321" t="s">
        <v>31</v>
      </c>
      <c r="O28" s="321" t="s">
        <v>31</v>
      </c>
      <c r="P28" s="321" t="s">
        <v>31</v>
      </c>
      <c r="Q28" s="321" t="s">
        <v>31</v>
      </c>
      <c r="R28" s="321" t="s">
        <v>31</v>
      </c>
      <c r="S28" s="178" t="s">
        <v>91</v>
      </c>
    </row>
    <row r="29" spans="1:19" ht="18" customHeight="1">
      <c r="A29" s="483"/>
      <c r="B29" s="484"/>
      <c r="C29" s="351"/>
      <c r="D29" s="492"/>
      <c r="E29" s="397" t="s">
        <v>170</v>
      </c>
      <c r="F29" s="341" t="s">
        <v>154</v>
      </c>
      <c r="G29" s="310">
        <f t="shared" si="0"/>
        <v>45515</v>
      </c>
      <c r="H29" s="311">
        <f>+G29+18</f>
        <v>45533</v>
      </c>
      <c r="I29" s="311" t="s">
        <v>31</v>
      </c>
      <c r="J29" s="310" t="s">
        <v>31</v>
      </c>
      <c r="K29" s="310" t="s">
        <v>31</v>
      </c>
      <c r="L29" s="310" t="s">
        <v>31</v>
      </c>
      <c r="M29" s="310" t="s">
        <v>31</v>
      </c>
      <c r="N29" s="310" t="s">
        <v>31</v>
      </c>
      <c r="O29" s="310" t="s">
        <v>31</v>
      </c>
      <c r="P29" s="310" t="s">
        <v>31</v>
      </c>
      <c r="Q29" s="310" t="s">
        <v>31</v>
      </c>
      <c r="R29" s="310" t="s">
        <v>31</v>
      </c>
      <c r="S29" s="143" t="s">
        <v>92</v>
      </c>
    </row>
    <row r="30" spans="1:19" ht="18" customHeight="1">
      <c r="A30" s="345" t="s">
        <v>126</v>
      </c>
      <c r="B30" s="474" t="s">
        <v>163</v>
      </c>
      <c r="C30" s="440">
        <f>+C25+7</f>
        <v>45508</v>
      </c>
      <c r="D30" s="493">
        <f>+C30+2</f>
        <v>45510</v>
      </c>
      <c r="E30" s="497" t="s">
        <v>179</v>
      </c>
      <c r="F30" s="543" t="s">
        <v>180</v>
      </c>
      <c r="G30" s="337">
        <f t="shared" si="0"/>
        <v>45508</v>
      </c>
      <c r="H30" s="338" t="s">
        <v>31</v>
      </c>
      <c r="I30" s="337">
        <f>+G30+18</f>
        <v>45526</v>
      </c>
      <c r="J30" s="337">
        <f>+I30+9</f>
        <v>45535</v>
      </c>
      <c r="K30" s="337">
        <f>+J30+5</f>
        <v>45540</v>
      </c>
      <c r="L30" s="438" t="s">
        <v>31</v>
      </c>
      <c r="M30" s="339" t="s">
        <v>31</v>
      </c>
      <c r="N30" s="339" t="s">
        <v>31</v>
      </c>
      <c r="O30" s="339" t="s">
        <v>31</v>
      </c>
      <c r="P30" s="339" t="s">
        <v>31</v>
      </c>
      <c r="Q30" s="339" t="s">
        <v>31</v>
      </c>
      <c r="R30" s="339" t="s">
        <v>31</v>
      </c>
      <c r="S30" s="340" t="s">
        <v>94</v>
      </c>
    </row>
    <row r="31" spans="1:19" ht="18" customHeight="1">
      <c r="A31" s="503" t="s">
        <v>130</v>
      </c>
      <c r="B31" s="504" t="s">
        <v>159</v>
      </c>
      <c r="C31" s="506">
        <f>+C26+7</f>
        <v>45502</v>
      </c>
      <c r="D31" s="507">
        <f>+C31+2</f>
        <v>45504</v>
      </c>
      <c r="E31" s="529" t="s">
        <v>185</v>
      </c>
      <c r="F31" s="328" t="s">
        <v>135</v>
      </c>
      <c r="G31" s="329">
        <f t="shared" si="0"/>
        <v>45509</v>
      </c>
      <c r="H31" s="330" t="s">
        <v>31</v>
      </c>
      <c r="I31" s="330" t="s">
        <v>31</v>
      </c>
      <c r="J31" s="330" t="s">
        <v>31</v>
      </c>
      <c r="K31" s="330" t="s">
        <v>31</v>
      </c>
      <c r="L31" s="394" t="s">
        <v>31</v>
      </c>
      <c r="M31" s="331" t="s">
        <v>31</v>
      </c>
      <c r="N31" s="332">
        <f>+O31+2</f>
        <v>45536</v>
      </c>
      <c r="O31" s="332">
        <f>+G31+25</f>
        <v>45534</v>
      </c>
      <c r="P31" s="333" t="s">
        <v>31</v>
      </c>
      <c r="Q31" s="332">
        <f>+N31+2</f>
        <v>45538</v>
      </c>
      <c r="R31" s="330">
        <f>+Q31+2</f>
        <v>45540</v>
      </c>
      <c r="S31" s="290" t="s">
        <v>93</v>
      </c>
    </row>
    <row r="32" spans="1:19" ht="18.600000000000001" customHeight="1">
      <c r="A32" s="423"/>
      <c r="B32" s="487"/>
      <c r="C32" s="490"/>
      <c r="D32" s="422"/>
      <c r="E32" s="398" t="s">
        <v>189</v>
      </c>
      <c r="F32" s="395" t="s">
        <v>143</v>
      </c>
      <c r="G32" s="306">
        <f t="shared" si="0"/>
        <v>45511</v>
      </c>
      <c r="H32" s="307" t="s">
        <v>31</v>
      </c>
      <c r="I32" s="307" t="s">
        <v>31</v>
      </c>
      <c r="J32" s="307" t="s">
        <v>31</v>
      </c>
      <c r="K32" s="307" t="s">
        <v>31</v>
      </c>
      <c r="L32" s="308">
        <f>+M32+3</f>
        <v>45542</v>
      </c>
      <c r="M32" s="308">
        <f>+N32+3</f>
        <v>45539</v>
      </c>
      <c r="N32" s="308">
        <f>+G32+25</f>
        <v>45536</v>
      </c>
      <c r="O32" s="309" t="s">
        <v>31</v>
      </c>
      <c r="P32" s="308">
        <f>G32+35</f>
        <v>45546</v>
      </c>
      <c r="Q32" s="309" t="s">
        <v>31</v>
      </c>
      <c r="R32" s="309" t="s">
        <v>31</v>
      </c>
      <c r="S32" s="285" t="s">
        <v>95</v>
      </c>
    </row>
    <row r="33" spans="1:19" ht="18" customHeight="1">
      <c r="E33" s="443"/>
      <c r="F33" s="443"/>
      <c r="G33" s="444"/>
      <c r="H33" s="445"/>
      <c r="I33" s="445"/>
      <c r="J33" s="445"/>
      <c r="K33" s="445"/>
      <c r="L33" s="446"/>
      <c r="M33" s="446"/>
      <c r="N33" s="446"/>
      <c r="O33" s="447"/>
      <c r="P33" s="446"/>
      <c r="Q33" s="447"/>
      <c r="R33" s="447"/>
      <c r="S33" s="285"/>
    </row>
    <row r="34" spans="1:19" ht="18" customHeight="1">
      <c r="E34" s="443"/>
      <c r="F34" s="443"/>
      <c r="G34" s="444"/>
      <c r="H34" s="445"/>
      <c r="I34" s="445"/>
      <c r="J34" s="445"/>
      <c r="K34" s="445"/>
      <c r="L34" s="446"/>
      <c r="M34" s="446"/>
      <c r="N34" s="446"/>
      <c r="O34" s="447"/>
      <c r="P34" s="446"/>
      <c r="Q34" s="447"/>
      <c r="R34" s="447"/>
      <c r="S34" s="285"/>
    </row>
    <row r="35" spans="1:19" ht="18" customHeight="1">
      <c r="E35" s="443"/>
      <c r="F35" s="443"/>
      <c r="G35" s="444"/>
      <c r="H35" s="445"/>
      <c r="I35" s="445"/>
      <c r="J35" s="445"/>
      <c r="K35" s="445"/>
      <c r="L35" s="446"/>
      <c r="M35" s="446"/>
      <c r="N35" s="446"/>
      <c r="O35" s="447"/>
      <c r="P35" s="446"/>
      <c r="Q35" s="447"/>
      <c r="R35" s="447"/>
      <c r="S35" s="285"/>
    </row>
    <row r="36" spans="1:19" ht="18" customHeight="1">
      <c r="E36" s="443"/>
      <c r="F36" s="443"/>
      <c r="G36" s="444"/>
      <c r="H36" s="445"/>
      <c r="I36" s="445"/>
      <c r="J36" s="445"/>
      <c r="K36" s="445"/>
      <c r="L36" s="446"/>
      <c r="M36" s="446"/>
      <c r="N36" s="446"/>
      <c r="O36" s="447"/>
      <c r="P36" s="446"/>
      <c r="Q36" s="447"/>
      <c r="R36" s="447"/>
      <c r="S36" s="285"/>
    </row>
    <row r="38" spans="1:19">
      <c r="A38" s="179"/>
      <c r="B38" s="179"/>
      <c r="C38" s="171"/>
      <c r="D38" s="161"/>
      <c r="E38" s="161"/>
      <c r="F38" s="187"/>
      <c r="G38" s="161"/>
      <c r="H38" s="180"/>
      <c r="I38" s="163"/>
      <c r="J38" s="163"/>
      <c r="R38" s="163" t="s">
        <v>32</v>
      </c>
    </row>
    <row r="39" spans="1:19">
      <c r="A39" s="154" t="s">
        <v>33</v>
      </c>
      <c r="B39" s="261"/>
      <c r="C39" s="160"/>
      <c r="D39" s="161"/>
      <c r="E39" s="162"/>
      <c r="F39" s="268"/>
      <c r="G39" s="162"/>
      <c r="H39" s="162"/>
      <c r="J39" s="60"/>
      <c r="K39" s="60"/>
    </row>
    <row r="40" spans="1:19">
      <c r="A40" s="352" t="s">
        <v>114</v>
      </c>
      <c r="B40" s="349"/>
      <c r="C40" s="167"/>
      <c r="D40" s="165"/>
      <c r="E40" s="80"/>
      <c r="F40" s="236"/>
      <c r="G40" s="168"/>
      <c r="H40" s="168"/>
      <c r="J40" s="60"/>
      <c r="K40" s="60"/>
      <c r="S40" s="60"/>
    </row>
    <row r="41" spans="1:19">
      <c r="A41" s="276" t="s">
        <v>73</v>
      </c>
      <c r="B41" s="262"/>
      <c r="C41" s="174"/>
      <c r="D41" s="165"/>
      <c r="E41" s="81"/>
      <c r="F41" s="270"/>
      <c r="G41" s="162"/>
      <c r="H41" s="162"/>
      <c r="J41" s="60"/>
      <c r="K41" s="60"/>
      <c r="S41" s="60"/>
    </row>
    <row r="42" spans="1:19">
      <c r="A42" s="1" t="s">
        <v>74</v>
      </c>
      <c r="B42" s="263"/>
      <c r="C42" s="174"/>
      <c r="D42" s="165"/>
      <c r="E42" s="81"/>
      <c r="F42" s="270"/>
      <c r="G42" s="162"/>
      <c r="H42" s="162"/>
      <c r="J42" s="60"/>
      <c r="K42" s="60"/>
      <c r="S42" s="60"/>
    </row>
    <row r="43" spans="1:19">
      <c r="A43" s="182"/>
      <c r="B43" s="263"/>
      <c r="C43" s="174"/>
      <c r="D43" s="165"/>
      <c r="E43" s="81"/>
      <c r="F43" s="270"/>
      <c r="G43" s="162"/>
      <c r="H43" s="162"/>
      <c r="J43" s="60"/>
      <c r="K43" s="60"/>
      <c r="S43" s="60"/>
    </row>
    <row r="44" spans="1:19">
      <c r="A44" s="156" t="s">
        <v>98</v>
      </c>
      <c r="B44" s="169"/>
      <c r="C44" s="175"/>
      <c r="D44" s="170"/>
      <c r="E44" s="171"/>
      <c r="F44" s="271"/>
      <c r="G44" s="168"/>
      <c r="H44" s="168"/>
      <c r="J44" s="60"/>
      <c r="K44" s="60"/>
      <c r="S44" s="60"/>
    </row>
    <row r="45" spans="1:19">
      <c r="A45" s="156" t="s">
        <v>97</v>
      </c>
      <c r="B45" s="264"/>
      <c r="C45" s="173"/>
      <c r="D45" s="176"/>
      <c r="E45" s="80"/>
      <c r="F45" s="236"/>
      <c r="G45" s="162"/>
      <c r="H45" s="162"/>
      <c r="J45" s="60"/>
      <c r="K45" s="60"/>
      <c r="S45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zoomScale="70" zoomScaleNormal="70" workbookViewId="0">
      <selection activeCell="D25" sqref="D25"/>
    </sheetView>
  </sheetViews>
  <sheetFormatPr defaultColWidth="8" defaultRowHeight="14.25"/>
  <cols>
    <col min="1" max="1" width="20.77734375" style="124" customWidth="1"/>
    <col min="2" max="2" width="8.77734375" style="124" customWidth="1"/>
    <col min="3" max="3" width="7.88671875" style="125" customWidth="1"/>
    <col min="4" max="4" width="7.77734375" style="124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8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29" t="s">
        <v>0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128"/>
    </row>
    <row r="2" spans="1:20" ht="18">
      <c r="B2" s="628" t="s">
        <v>59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2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2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2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30" t="s">
        <v>117</v>
      </c>
      <c r="B8" s="631"/>
      <c r="C8" s="535" t="s">
        <v>17</v>
      </c>
      <c r="D8" s="265" t="s">
        <v>18</v>
      </c>
      <c r="E8" s="635" t="s">
        <v>19</v>
      </c>
      <c r="F8" s="635"/>
      <c r="G8" s="343" t="s">
        <v>60</v>
      </c>
      <c r="H8" s="638" t="s">
        <v>18</v>
      </c>
      <c r="I8" s="638"/>
      <c r="J8" s="638"/>
      <c r="K8" s="638"/>
      <c r="L8" s="638"/>
      <c r="M8" s="638"/>
      <c r="N8" s="638"/>
      <c r="O8" s="638"/>
      <c r="P8" s="638"/>
      <c r="Q8" s="638"/>
      <c r="R8" s="639"/>
    </row>
    <row r="9" spans="1:20" ht="18" customHeight="1">
      <c r="A9" s="632"/>
      <c r="B9" s="640"/>
      <c r="C9" s="421" t="s">
        <v>21</v>
      </c>
      <c r="D9" s="260" t="s">
        <v>61</v>
      </c>
      <c r="E9" s="641" t="s">
        <v>23</v>
      </c>
      <c r="F9" s="641"/>
      <c r="G9" s="256" t="s">
        <v>18</v>
      </c>
      <c r="H9" s="289" t="s">
        <v>62</v>
      </c>
      <c r="I9" s="257" t="s">
        <v>63</v>
      </c>
      <c r="J9" s="289" t="s">
        <v>64</v>
      </c>
      <c r="K9" s="257" t="s">
        <v>65</v>
      </c>
      <c r="L9" s="289" t="s">
        <v>66</v>
      </c>
      <c r="M9" s="257" t="s">
        <v>67</v>
      </c>
      <c r="N9" s="289" t="s">
        <v>68</v>
      </c>
      <c r="O9" s="256" t="s">
        <v>69</v>
      </c>
      <c r="P9" s="289" t="s">
        <v>70</v>
      </c>
      <c r="Q9" s="257" t="s">
        <v>71</v>
      </c>
      <c r="R9" s="258" t="s">
        <v>72</v>
      </c>
    </row>
    <row r="10" spans="1:20" ht="18" customHeight="1">
      <c r="A10" s="409"/>
      <c r="B10" s="409"/>
      <c r="C10" s="351"/>
      <c r="D10" s="351"/>
      <c r="E10" s="326"/>
      <c r="F10" s="327"/>
      <c r="G10" s="312"/>
      <c r="H10" s="313"/>
      <c r="I10" s="314"/>
      <c r="J10" s="313"/>
      <c r="K10" s="314"/>
      <c r="L10" s="313"/>
      <c r="M10" s="315"/>
      <c r="N10" s="315"/>
      <c r="O10" s="298"/>
      <c r="P10" s="315"/>
      <c r="Q10" s="259"/>
      <c r="R10" s="316"/>
      <c r="S10" s="255"/>
    </row>
    <row r="11" spans="1:20" ht="18" customHeight="1">
      <c r="A11" s="345" t="str">
        <f>+'S.AFRICA via SIN'!A10</f>
        <v>SAN LORENZO</v>
      </c>
      <c r="B11" s="439" t="str">
        <f>+'S.AFRICA via SIN'!B10</f>
        <v>261S</v>
      </c>
      <c r="C11" s="440">
        <f>+'S.AFRICA via SIN'!C10</f>
        <v>45480</v>
      </c>
      <c r="D11" s="493">
        <f>C11+2</f>
        <v>45482</v>
      </c>
      <c r="E11" s="397" t="s">
        <v>148</v>
      </c>
      <c r="F11" s="411" t="s">
        <v>149</v>
      </c>
      <c r="G11" s="317">
        <v>45481</v>
      </c>
      <c r="H11" s="318">
        <f>G11+23</f>
        <v>45504</v>
      </c>
      <c r="I11" s="317" t="s">
        <v>31</v>
      </c>
      <c r="J11" s="318">
        <f>G11+24</f>
        <v>45505</v>
      </c>
      <c r="K11" s="319">
        <f>G11+26</f>
        <v>45507</v>
      </c>
      <c r="L11" s="318">
        <f>G11+27</f>
        <v>45508</v>
      </c>
      <c r="M11" s="311">
        <f>G11+30</f>
        <v>45511</v>
      </c>
      <c r="N11" s="311">
        <f>G11+32</f>
        <v>45513</v>
      </c>
      <c r="O11" s="299">
        <f>G11+36</f>
        <v>45517</v>
      </c>
      <c r="P11" s="310" t="s">
        <v>31</v>
      </c>
      <c r="Q11" s="317" t="s">
        <v>31</v>
      </c>
      <c r="R11" s="317" t="s">
        <v>31</v>
      </c>
      <c r="S11" s="143" t="s">
        <v>89</v>
      </c>
    </row>
    <row r="12" spans="1:20" ht="18" customHeight="1">
      <c r="A12" s="508" t="str">
        <f>+'S.AFRICA via SIN'!A11</f>
        <v>AN HAI</v>
      </c>
      <c r="B12" s="509" t="str">
        <f>+'S.AFRICA via SIN'!B11</f>
        <v>018S</v>
      </c>
      <c r="C12" s="510">
        <f>+'S.AFRICA via SIN'!C11</f>
        <v>45474</v>
      </c>
      <c r="D12" s="505">
        <f>+'S.AFRICA via SIN'!D11</f>
        <v>45476</v>
      </c>
      <c r="E12" s="425" t="s">
        <v>198</v>
      </c>
      <c r="F12" s="519" t="s">
        <v>199</v>
      </c>
      <c r="G12" s="522">
        <v>45487</v>
      </c>
      <c r="H12" s="302" t="s">
        <v>31</v>
      </c>
      <c r="I12" s="301">
        <f>G12+24</f>
        <v>45511</v>
      </c>
      <c r="J12" s="303">
        <f>G12+26</f>
        <v>45513</v>
      </c>
      <c r="K12" s="301">
        <f>G12+28</f>
        <v>45515</v>
      </c>
      <c r="L12" s="303">
        <f>G12+29</f>
        <v>45516</v>
      </c>
      <c r="M12" s="304" t="s">
        <v>31</v>
      </c>
      <c r="N12" s="304" t="s">
        <v>31</v>
      </c>
      <c r="O12" s="304" t="s">
        <v>31</v>
      </c>
      <c r="P12" s="304" t="s">
        <v>31</v>
      </c>
      <c r="Q12" s="301">
        <f>G12+30</f>
        <v>45517</v>
      </c>
      <c r="R12" s="305">
        <f>G12+29</f>
        <v>45516</v>
      </c>
      <c r="S12" s="288" t="s">
        <v>90</v>
      </c>
      <c r="T12"/>
    </row>
    <row r="13" spans="1:20" ht="18" customHeight="1">
      <c r="A13" s="409"/>
      <c r="B13" s="409"/>
      <c r="C13" s="351"/>
      <c r="D13" s="351"/>
      <c r="E13" s="475"/>
      <c r="F13" s="520"/>
      <c r="G13" s="476"/>
      <c r="H13" s="480"/>
      <c r="I13" s="477"/>
      <c r="J13" s="477"/>
      <c r="K13" s="477"/>
      <c r="L13" s="477"/>
      <c r="M13" s="477"/>
      <c r="N13" s="477"/>
      <c r="O13" s="478"/>
      <c r="P13" s="477"/>
      <c r="Q13" s="479"/>
      <c r="R13" s="480"/>
      <c r="S13" s="255"/>
    </row>
    <row r="14" spans="1:20" ht="18" customHeight="1">
      <c r="A14" s="345" t="str">
        <f>+'S.AFRICA via SIN'!A15</f>
        <v>CAPE FAWLEY</v>
      </c>
      <c r="B14" s="439" t="str">
        <f>+'S.AFRICA via SIN'!B15</f>
        <v>127S</v>
      </c>
      <c r="C14" s="440">
        <f>+'S.AFRICA via SIN'!C15</f>
        <v>45487</v>
      </c>
      <c r="D14" s="493">
        <f>C14+2</f>
        <v>45489</v>
      </c>
      <c r="E14" s="397" t="s">
        <v>190</v>
      </c>
      <c r="F14" s="341" t="s">
        <v>191</v>
      </c>
      <c r="G14" s="310">
        <f>+G11+7</f>
        <v>45488</v>
      </c>
      <c r="H14" s="318">
        <f>G14+23</f>
        <v>45511</v>
      </c>
      <c r="I14" s="317" t="s">
        <v>31</v>
      </c>
      <c r="J14" s="318">
        <f>G14+24</f>
        <v>45512</v>
      </c>
      <c r="K14" s="319">
        <f>G14+26</f>
        <v>45514</v>
      </c>
      <c r="L14" s="318">
        <f>G14+27</f>
        <v>45515</v>
      </c>
      <c r="M14" s="311">
        <f>G14+30</f>
        <v>45518</v>
      </c>
      <c r="N14" s="311">
        <f>G14+32</f>
        <v>45520</v>
      </c>
      <c r="O14" s="299">
        <f>G14+36</f>
        <v>45524</v>
      </c>
      <c r="P14" s="310" t="s">
        <v>31</v>
      </c>
      <c r="Q14" s="317" t="s">
        <v>31</v>
      </c>
      <c r="R14" s="317" t="s">
        <v>31</v>
      </c>
      <c r="S14" s="143" t="s">
        <v>89</v>
      </c>
    </row>
    <row r="15" spans="1:20" ht="18" customHeight="1">
      <c r="A15" s="508" t="str">
        <f>+'S.AFRICA via SIN'!A16</f>
        <v>SINAR SUNDA</v>
      </c>
      <c r="B15" s="509" t="str">
        <f>+'S.AFRICA via SIN'!B16</f>
        <v>169S</v>
      </c>
      <c r="C15" s="510">
        <f>+'S.AFRICA via SIN'!C16</f>
        <v>45481</v>
      </c>
      <c r="D15" s="505">
        <f>+'S.AFRICA via SIN'!D16</f>
        <v>45483</v>
      </c>
      <c r="E15" s="425" t="s">
        <v>200</v>
      </c>
      <c r="F15" s="519" t="s">
        <v>201</v>
      </c>
      <c r="G15" s="522">
        <f>G12+7</f>
        <v>45494</v>
      </c>
      <c r="H15" s="302" t="s">
        <v>31</v>
      </c>
      <c r="I15" s="301">
        <f>G15+24</f>
        <v>45518</v>
      </c>
      <c r="J15" s="303">
        <f>G15+26</f>
        <v>45520</v>
      </c>
      <c r="K15" s="301">
        <f>G15+28</f>
        <v>45522</v>
      </c>
      <c r="L15" s="303">
        <f>G15+29</f>
        <v>45523</v>
      </c>
      <c r="M15" s="304" t="s">
        <v>31</v>
      </c>
      <c r="N15" s="304" t="s">
        <v>31</v>
      </c>
      <c r="O15" s="304" t="s">
        <v>31</v>
      </c>
      <c r="P15" s="304" t="s">
        <v>31</v>
      </c>
      <c r="Q15" s="301">
        <f>G15+30</f>
        <v>45524</v>
      </c>
      <c r="R15" s="305">
        <f>G15+29</f>
        <v>45523</v>
      </c>
      <c r="S15" s="288" t="s">
        <v>90</v>
      </c>
      <c r="T15"/>
    </row>
    <row r="16" spans="1:20" ht="18" customHeight="1">
      <c r="A16" s="409"/>
      <c r="B16" s="409"/>
      <c r="C16" s="351"/>
      <c r="D16" s="492"/>
      <c r="E16" s="475"/>
      <c r="F16" s="520"/>
      <c r="G16" s="521"/>
      <c r="H16" s="541"/>
      <c r="I16" s="477"/>
      <c r="J16" s="477"/>
      <c r="K16" s="477"/>
      <c r="L16" s="477"/>
      <c r="M16" s="477"/>
      <c r="N16" s="477"/>
      <c r="O16" s="478"/>
      <c r="P16" s="477"/>
      <c r="Q16" s="479"/>
      <c r="R16" s="480"/>
      <c r="S16" s="255"/>
    </row>
    <row r="17" spans="1:20" ht="18" customHeight="1">
      <c r="A17" s="345" t="str">
        <f>+'S.AFRICA via SIN'!A20</f>
        <v>SAN LORENZO</v>
      </c>
      <c r="B17" s="439" t="str">
        <f>+'S.AFRICA via SIN'!B20</f>
        <v>262S</v>
      </c>
      <c r="C17" s="440">
        <f>+'S.AFRICA via SIN'!C20</f>
        <v>45494</v>
      </c>
      <c r="D17" s="493">
        <f>C17+2</f>
        <v>45496</v>
      </c>
      <c r="E17" s="397" t="s">
        <v>192</v>
      </c>
      <c r="F17" s="533" t="s">
        <v>193</v>
      </c>
      <c r="G17" s="310">
        <f>+G14+7</f>
        <v>45495</v>
      </c>
      <c r="H17" s="318">
        <f>G17+23</f>
        <v>45518</v>
      </c>
      <c r="I17" s="317" t="s">
        <v>31</v>
      </c>
      <c r="J17" s="318">
        <f>G17+24</f>
        <v>45519</v>
      </c>
      <c r="K17" s="319">
        <f>G17+26</f>
        <v>45521</v>
      </c>
      <c r="L17" s="318">
        <f>G17+27</f>
        <v>45522</v>
      </c>
      <c r="M17" s="311">
        <f>G17+30</f>
        <v>45525</v>
      </c>
      <c r="N17" s="311">
        <f>G17+32</f>
        <v>45527</v>
      </c>
      <c r="O17" s="299">
        <f>G17+36</f>
        <v>45531</v>
      </c>
      <c r="P17" s="310" t="s">
        <v>31</v>
      </c>
      <c r="Q17" s="317" t="s">
        <v>31</v>
      </c>
      <c r="R17" s="317" t="s">
        <v>31</v>
      </c>
      <c r="S17" s="143" t="s">
        <v>89</v>
      </c>
    </row>
    <row r="18" spans="1:20" ht="18" customHeight="1">
      <c r="A18" s="508" t="str">
        <f>+'S.AFRICA via SIN'!A21</f>
        <v>AN HAI</v>
      </c>
      <c r="B18" s="509" t="str">
        <f>+'S.AFRICA via SIN'!B21</f>
        <v>019S</v>
      </c>
      <c r="C18" s="510">
        <f>+'S.AFRICA via SIN'!C21</f>
        <v>45488</v>
      </c>
      <c r="D18" s="511">
        <f>+'S.AFRICA via SIN'!D21</f>
        <v>45490</v>
      </c>
      <c r="E18" s="425" t="s">
        <v>202</v>
      </c>
      <c r="F18" s="519" t="s">
        <v>203</v>
      </c>
      <c r="G18" s="522">
        <f>G15+7</f>
        <v>45501</v>
      </c>
      <c r="H18" s="302" t="s">
        <v>31</v>
      </c>
      <c r="I18" s="301">
        <f>G18+24</f>
        <v>45525</v>
      </c>
      <c r="J18" s="303">
        <f>G18+26</f>
        <v>45527</v>
      </c>
      <c r="K18" s="301">
        <f>G18+28</f>
        <v>45529</v>
      </c>
      <c r="L18" s="303">
        <f>G18+29</f>
        <v>45530</v>
      </c>
      <c r="M18" s="304" t="s">
        <v>31</v>
      </c>
      <c r="N18" s="304" t="s">
        <v>31</v>
      </c>
      <c r="O18" s="304" t="s">
        <v>31</v>
      </c>
      <c r="P18" s="304" t="s">
        <v>31</v>
      </c>
      <c r="Q18" s="301">
        <f>G18+30</f>
        <v>45531</v>
      </c>
      <c r="R18" s="305">
        <f>G18+29</f>
        <v>45530</v>
      </c>
      <c r="S18" s="288" t="s">
        <v>90</v>
      </c>
      <c r="T18"/>
    </row>
    <row r="19" spans="1:20" ht="18" customHeight="1">
      <c r="A19" s="409"/>
      <c r="B19" s="409"/>
      <c r="C19" s="351"/>
      <c r="D19" s="351"/>
      <c r="E19" s="475"/>
      <c r="F19" s="520"/>
      <c r="G19" s="476"/>
      <c r="H19" s="480"/>
      <c r="I19" s="477"/>
      <c r="J19" s="477"/>
      <c r="K19" s="477"/>
      <c r="L19" s="477"/>
      <c r="M19" s="477"/>
      <c r="N19" s="477"/>
      <c r="O19" s="478"/>
      <c r="P19" s="477"/>
      <c r="Q19" s="479"/>
      <c r="R19" s="480"/>
      <c r="S19" s="255"/>
    </row>
    <row r="20" spans="1:20" ht="18" customHeight="1">
      <c r="A20" s="345" t="str">
        <f>+'S.AFRICA via SIN'!A25</f>
        <v>CAPE FAWLEY</v>
      </c>
      <c r="B20" s="439" t="str">
        <f>+'S.AFRICA via SIN'!B25</f>
        <v>128S</v>
      </c>
      <c r="C20" s="440">
        <f>+'S.AFRICA via SIN'!C25</f>
        <v>45501</v>
      </c>
      <c r="D20" s="493">
        <f>C20+2</f>
        <v>45503</v>
      </c>
      <c r="E20" s="397" t="s">
        <v>194</v>
      </c>
      <c r="F20" s="341" t="s">
        <v>195</v>
      </c>
      <c r="G20" s="310">
        <f>+G17+7</f>
        <v>45502</v>
      </c>
      <c r="H20" s="318">
        <f>G20+23</f>
        <v>45525</v>
      </c>
      <c r="I20" s="317" t="s">
        <v>31</v>
      </c>
      <c r="J20" s="318">
        <f>G20+24</f>
        <v>45526</v>
      </c>
      <c r="K20" s="319">
        <f>G20+26</f>
        <v>45528</v>
      </c>
      <c r="L20" s="318">
        <f>G20+27</f>
        <v>45529</v>
      </c>
      <c r="M20" s="311">
        <f>G20+30</f>
        <v>45532</v>
      </c>
      <c r="N20" s="311">
        <f>G20+32</f>
        <v>45534</v>
      </c>
      <c r="O20" s="299">
        <f>G20+36</f>
        <v>45538</v>
      </c>
      <c r="P20" s="310" t="s">
        <v>31</v>
      </c>
      <c r="Q20" s="317" t="s">
        <v>31</v>
      </c>
      <c r="R20" s="317" t="s">
        <v>31</v>
      </c>
      <c r="S20" s="143" t="s">
        <v>89</v>
      </c>
    </row>
    <row r="21" spans="1:20" ht="18" customHeight="1">
      <c r="A21" s="508" t="str">
        <f>+'S.AFRICA via SIN'!A26</f>
        <v>SINAR SUNDA</v>
      </c>
      <c r="B21" s="532" t="str">
        <f>+'S.AFRICA via SIN'!B26</f>
        <v>170S</v>
      </c>
      <c r="C21" s="510">
        <f>+'S.AFRICA via SIN'!C26</f>
        <v>45495</v>
      </c>
      <c r="D21" s="511">
        <f>+'S.AFRICA via SIN'!D26</f>
        <v>45497</v>
      </c>
      <c r="E21" s="425" t="s">
        <v>204</v>
      </c>
      <c r="F21" s="519" t="s">
        <v>205</v>
      </c>
      <c r="G21" s="522">
        <f>G18+7</f>
        <v>45508</v>
      </c>
      <c r="H21" s="302" t="s">
        <v>31</v>
      </c>
      <c r="I21" s="301">
        <f>G21+24</f>
        <v>45532</v>
      </c>
      <c r="J21" s="303">
        <f>G21+26</f>
        <v>45534</v>
      </c>
      <c r="K21" s="301">
        <f>G21+28</f>
        <v>45536</v>
      </c>
      <c r="L21" s="303">
        <f>G21+29</f>
        <v>45537</v>
      </c>
      <c r="M21" s="304" t="s">
        <v>31</v>
      </c>
      <c r="N21" s="304" t="s">
        <v>31</v>
      </c>
      <c r="O21" s="304" t="s">
        <v>31</v>
      </c>
      <c r="P21" s="304" t="s">
        <v>31</v>
      </c>
      <c r="Q21" s="301">
        <f>G21+30</f>
        <v>45538</v>
      </c>
      <c r="R21" s="305">
        <f>G21+29</f>
        <v>45537</v>
      </c>
      <c r="S21" s="288" t="s">
        <v>90</v>
      </c>
      <c r="T21"/>
    </row>
    <row r="22" spans="1:20" ht="18" customHeight="1">
      <c r="A22" s="409"/>
      <c r="B22" s="409"/>
      <c r="C22" s="351"/>
      <c r="D22" s="351"/>
      <c r="E22" s="475"/>
      <c r="F22" s="520"/>
      <c r="G22" s="476"/>
      <c r="H22" s="480"/>
      <c r="I22" s="477"/>
      <c r="J22" s="477"/>
      <c r="K22" s="477"/>
      <c r="L22" s="477"/>
      <c r="M22" s="477"/>
      <c r="N22" s="477"/>
      <c r="O22" s="478"/>
      <c r="P22" s="477"/>
      <c r="Q22" s="479"/>
      <c r="R22" s="480"/>
      <c r="S22" s="255"/>
    </row>
    <row r="23" spans="1:20" ht="18" customHeight="1">
      <c r="A23" s="345" t="str">
        <f>'S.AFRICA via SIN'!A30</f>
        <v>SAN LORENZO</v>
      </c>
      <c r="B23" s="439" t="str">
        <f>'S.AFRICA via SIN'!B30</f>
        <v>263S</v>
      </c>
      <c r="C23" s="440">
        <f>'S.AFRICA via SIN'!C30</f>
        <v>45508</v>
      </c>
      <c r="D23" s="493">
        <f>C23+2</f>
        <v>45510</v>
      </c>
      <c r="E23" s="397" t="s">
        <v>196</v>
      </c>
      <c r="F23" s="341" t="s">
        <v>197</v>
      </c>
      <c r="G23" s="310">
        <f>+G20+7</f>
        <v>45509</v>
      </c>
      <c r="H23" s="318">
        <f>G23+23</f>
        <v>45532</v>
      </c>
      <c r="I23" s="317" t="s">
        <v>31</v>
      </c>
      <c r="J23" s="318">
        <f>G23+24</f>
        <v>45533</v>
      </c>
      <c r="K23" s="319">
        <f>G23+26</f>
        <v>45535</v>
      </c>
      <c r="L23" s="318">
        <f>G23+27</f>
        <v>45536</v>
      </c>
      <c r="M23" s="311">
        <f>G23+30</f>
        <v>45539</v>
      </c>
      <c r="N23" s="311">
        <f>G23+32</f>
        <v>45541</v>
      </c>
      <c r="O23" s="299">
        <f>G23+36</f>
        <v>45545</v>
      </c>
      <c r="P23" s="310" t="s">
        <v>31</v>
      </c>
      <c r="Q23" s="317" t="s">
        <v>31</v>
      </c>
      <c r="R23" s="317" t="s">
        <v>31</v>
      </c>
      <c r="S23" s="143" t="s">
        <v>89</v>
      </c>
    </row>
    <row r="24" spans="1:20" ht="18" customHeight="1">
      <c r="A24" s="508" t="s">
        <v>130</v>
      </c>
      <c r="B24" s="532" t="str">
        <f>'S.AFRICA via SIN'!B31</f>
        <v>020S</v>
      </c>
      <c r="C24" s="510">
        <f>'S.AFRICA via SIN'!C31</f>
        <v>45502</v>
      </c>
      <c r="D24" s="511">
        <f>C24+2</f>
        <v>45504</v>
      </c>
      <c r="E24" s="425" t="s">
        <v>206</v>
      </c>
      <c r="F24" s="519" t="s">
        <v>207</v>
      </c>
      <c r="G24" s="522">
        <f>G21+7</f>
        <v>45515</v>
      </c>
      <c r="H24" s="302" t="s">
        <v>31</v>
      </c>
      <c r="I24" s="301">
        <f>G24+24</f>
        <v>45539</v>
      </c>
      <c r="J24" s="303">
        <f>G24+26</f>
        <v>45541</v>
      </c>
      <c r="K24" s="301">
        <f>G24+28</f>
        <v>45543</v>
      </c>
      <c r="L24" s="303">
        <f>G24+29</f>
        <v>45544</v>
      </c>
      <c r="M24" s="304" t="s">
        <v>31</v>
      </c>
      <c r="N24" s="304" t="s">
        <v>31</v>
      </c>
      <c r="O24" s="304" t="s">
        <v>31</v>
      </c>
      <c r="P24" s="304" t="s">
        <v>31</v>
      </c>
      <c r="Q24" s="301">
        <f>G24+30</f>
        <v>45545</v>
      </c>
      <c r="R24" s="305">
        <f>G24+29</f>
        <v>45544</v>
      </c>
      <c r="S24" s="288" t="s">
        <v>90</v>
      </c>
      <c r="T24"/>
    </row>
    <row r="25" spans="1:20" ht="18" customHeight="1">
      <c r="A25" s="512"/>
      <c r="B25" s="504"/>
      <c r="C25" s="544"/>
      <c r="D25" s="545"/>
      <c r="E25" s="546"/>
      <c r="F25" s="348"/>
      <c r="G25" s="518"/>
      <c r="H25" s="547"/>
      <c r="I25" s="518"/>
      <c r="J25" s="518"/>
      <c r="K25" s="518"/>
      <c r="L25" s="518"/>
      <c r="M25" s="547"/>
      <c r="N25" s="547"/>
      <c r="O25" s="547"/>
      <c r="P25" s="547"/>
      <c r="Q25" s="518"/>
      <c r="R25" s="518"/>
      <c r="S25" s="288"/>
      <c r="T25"/>
    </row>
    <row r="26" spans="1:20" ht="18" customHeight="1">
      <c r="A26" s="512"/>
      <c r="B26" s="504"/>
      <c r="C26" s="544"/>
      <c r="D26" s="545"/>
      <c r="E26" s="546"/>
      <c r="F26" s="348"/>
      <c r="G26" s="518"/>
      <c r="H26" s="547"/>
      <c r="I26" s="518"/>
      <c r="J26" s="518"/>
      <c r="K26" s="518"/>
      <c r="L26" s="518"/>
      <c r="M26" s="547"/>
      <c r="N26" s="547"/>
      <c r="O26" s="547"/>
      <c r="P26" s="547"/>
      <c r="Q26" s="518"/>
      <c r="R26" s="518"/>
      <c r="S26" s="288"/>
      <c r="T26"/>
    </row>
    <row r="27" spans="1:20" ht="18" customHeight="1">
      <c r="A27" s="512"/>
      <c r="B27" s="504"/>
      <c r="C27" s="544"/>
      <c r="D27" s="545"/>
      <c r="E27" s="546"/>
      <c r="F27" s="348"/>
      <c r="G27" s="518"/>
      <c r="H27" s="547"/>
      <c r="I27" s="518"/>
      <c r="J27" s="518"/>
      <c r="K27" s="518"/>
      <c r="L27" s="518"/>
      <c r="M27" s="547"/>
      <c r="N27" s="547"/>
      <c r="O27" s="547"/>
      <c r="P27" s="547"/>
      <c r="Q27" s="518"/>
      <c r="R27" s="518"/>
      <c r="S27" s="288"/>
      <c r="T27"/>
    </row>
    <row r="28" spans="1:20">
      <c r="N28" s="159"/>
    </row>
    <row r="29" spans="1:20">
      <c r="R29" s="163" t="s">
        <v>32</v>
      </c>
    </row>
    <row r="30" spans="1:20" ht="15">
      <c r="A30" s="154" t="s">
        <v>33</v>
      </c>
      <c r="B30" s="154"/>
      <c r="C30" s="160"/>
      <c r="D30" s="161"/>
      <c r="E30" s="162"/>
      <c r="F30" s="162"/>
      <c r="G30" s="162"/>
    </row>
    <row r="31" spans="1:20" ht="15">
      <c r="A31" s="352" t="s">
        <v>114</v>
      </c>
      <c r="B31" s="164"/>
      <c r="C31" s="174"/>
      <c r="D31" s="165"/>
      <c r="E31" s="81"/>
      <c r="F31" s="241"/>
      <c r="G31" s="162"/>
      <c r="R31" s="60"/>
    </row>
    <row r="32" spans="1:20" ht="15">
      <c r="A32" s="276" t="s">
        <v>73</v>
      </c>
      <c r="B32" s="164"/>
      <c r="C32" s="174"/>
      <c r="D32" s="165"/>
      <c r="E32" s="81"/>
      <c r="F32" s="241"/>
      <c r="G32" s="162"/>
      <c r="R32" s="60"/>
    </row>
    <row r="33" spans="1:18" ht="15">
      <c r="A33" s="1" t="s">
        <v>74</v>
      </c>
      <c r="B33" s="166"/>
      <c r="C33" s="167"/>
      <c r="D33" s="165"/>
      <c r="E33" s="80"/>
      <c r="F33" s="239"/>
      <c r="G33" s="168"/>
      <c r="R33" s="60"/>
    </row>
    <row r="34" spans="1:18" ht="15">
      <c r="A34" s="155"/>
      <c r="B34" s="164"/>
      <c r="C34" s="174"/>
      <c r="D34" s="165"/>
      <c r="E34" s="81"/>
      <c r="F34" s="241"/>
      <c r="G34" s="162"/>
      <c r="R34" s="60"/>
    </row>
    <row r="35" spans="1:18" ht="15">
      <c r="A35" s="156" t="s">
        <v>98</v>
      </c>
      <c r="B35" s="169"/>
      <c r="C35" s="175"/>
      <c r="D35" s="170"/>
      <c r="E35" s="171"/>
      <c r="F35" s="253"/>
      <c r="G35" s="168"/>
      <c r="R35" s="60"/>
    </row>
    <row r="36" spans="1:18" ht="15">
      <c r="A36" s="156" t="s">
        <v>97</v>
      </c>
      <c r="B36" s="172"/>
      <c r="C36" s="173"/>
      <c r="D36" s="176"/>
      <c r="E36" s="80"/>
      <c r="F36" s="239"/>
      <c r="G36" s="162"/>
      <c r="R36" s="60"/>
    </row>
    <row r="37" spans="1:18">
      <c r="R37" s="60"/>
    </row>
    <row r="40" spans="1:18">
      <c r="A40" s="177" t="s">
        <v>75</v>
      </c>
      <c r="B40" s="177"/>
      <c r="C40" s="177"/>
      <c r="D40" s="177"/>
      <c r="E40" s="177"/>
      <c r="F40" s="254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zoomScale="70" zoomScaleNormal="70" zoomScaleSheetLayoutView="80" workbookViewId="0">
      <selection activeCell="E54" sqref="E54"/>
    </sheetView>
  </sheetViews>
  <sheetFormatPr defaultColWidth="8" defaultRowHeight="14.25"/>
  <cols>
    <col min="1" max="1" width="22.109375" style="149" customWidth="1"/>
    <col min="2" max="2" width="14.21875" style="149" customWidth="1"/>
    <col min="3" max="3" width="8" style="144" bestFit="1" customWidth="1"/>
    <col min="4" max="4" width="9.21875" style="144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42" t="s">
        <v>0</v>
      </c>
      <c r="C1" s="642"/>
      <c r="D1" s="642"/>
      <c r="E1" s="642"/>
      <c r="F1" s="642"/>
      <c r="G1" s="642"/>
      <c r="H1" s="642"/>
      <c r="I1" s="642"/>
    </row>
    <row r="2" spans="1:10" ht="18">
      <c r="B2" s="643" t="s">
        <v>7</v>
      </c>
      <c r="C2" s="643"/>
      <c r="D2" s="643"/>
      <c r="E2" s="643"/>
      <c r="F2" s="643"/>
      <c r="G2" s="643"/>
      <c r="H2" s="643"/>
      <c r="I2" s="643"/>
    </row>
    <row r="3" spans="1:10" ht="15">
      <c r="A3" s="144"/>
      <c r="B3" s="153"/>
      <c r="C3" s="153"/>
      <c r="D3" s="153"/>
      <c r="E3" s="150"/>
      <c r="F3" s="267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7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7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7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2"/>
      <c r="F7" s="189"/>
      <c r="G7" s="190"/>
      <c r="H7" s="147"/>
      <c r="I7" s="148"/>
    </row>
    <row r="8" spans="1:10" ht="15" customHeight="1">
      <c r="A8" s="630" t="s">
        <v>115</v>
      </c>
      <c r="B8" s="631"/>
      <c r="C8" s="535" t="s">
        <v>17</v>
      </c>
      <c r="D8" s="265" t="s">
        <v>18</v>
      </c>
      <c r="E8" s="645" t="s">
        <v>19</v>
      </c>
      <c r="F8" s="645"/>
      <c r="G8" s="342" t="s">
        <v>60</v>
      </c>
      <c r="H8" s="646" t="s">
        <v>18</v>
      </c>
      <c r="I8" s="647"/>
    </row>
    <row r="9" spans="1:10" ht="15">
      <c r="A9" s="632"/>
      <c r="B9" s="644"/>
      <c r="C9" s="413" t="s">
        <v>21</v>
      </c>
      <c r="D9" s="260" t="s">
        <v>61</v>
      </c>
      <c r="E9" s="648" t="s">
        <v>80</v>
      </c>
      <c r="F9" s="648"/>
      <c r="G9" s="502" t="s">
        <v>18</v>
      </c>
      <c r="H9" s="266" t="s">
        <v>88</v>
      </c>
      <c r="I9" s="300" t="s">
        <v>105</v>
      </c>
    </row>
    <row r="10" spans="1:10" ht="15">
      <c r="A10" s="513"/>
      <c r="B10" s="565"/>
      <c r="C10" s="514"/>
      <c r="D10" s="514"/>
      <c r="E10" s="528" t="s">
        <v>131</v>
      </c>
      <c r="F10" s="500" t="s">
        <v>152</v>
      </c>
      <c r="G10" s="498">
        <v>45486</v>
      </c>
      <c r="H10" s="498">
        <f>G10+12</f>
        <v>45498</v>
      </c>
      <c r="I10" s="501" t="s">
        <v>31</v>
      </c>
      <c r="J10" s="285" t="s">
        <v>104</v>
      </c>
    </row>
    <row r="11" spans="1:10" ht="15">
      <c r="A11" s="345" t="str">
        <f>+'S.AFRICA via SIN'!A10</f>
        <v>SAN LORENZO</v>
      </c>
      <c r="B11" s="566" t="str">
        <f>+'S.AFRICA via SIN'!B10</f>
        <v>261S</v>
      </c>
      <c r="C11" s="440">
        <f>+'S.AFRICA via SIN'!C10</f>
        <v>45480</v>
      </c>
      <c r="D11" s="400">
        <f>C11+2</f>
        <v>45482</v>
      </c>
      <c r="E11" s="524" t="s">
        <v>31</v>
      </c>
      <c r="F11" s="399" t="s">
        <v>31</v>
      </c>
      <c r="G11" s="499">
        <v>45483</v>
      </c>
      <c r="H11" s="334" t="s">
        <v>31</v>
      </c>
      <c r="I11" s="335">
        <f>+G11+19</f>
        <v>45502</v>
      </c>
      <c r="J11" s="183" t="s">
        <v>109</v>
      </c>
    </row>
    <row r="12" spans="1:10" ht="15">
      <c r="A12" s="567" t="str">
        <f>+'S.AFRICA via SIN'!A11</f>
        <v>AN HAI</v>
      </c>
      <c r="B12" s="532" t="str">
        <f>+'S.AFRICA via SIN'!B11</f>
        <v>018S</v>
      </c>
      <c r="C12" s="515">
        <f>+'S.AFRICA via SIN'!C11</f>
        <v>45474</v>
      </c>
      <c r="D12" s="516">
        <f>+C12+2</f>
        <v>45476</v>
      </c>
      <c r="E12" s="524"/>
      <c r="F12" s="399"/>
      <c r="G12" s="499"/>
      <c r="H12" s="334"/>
      <c r="I12" s="335"/>
      <c r="J12" s="183"/>
    </row>
    <row r="13" spans="1:10" ht="15">
      <c r="A13" s="513"/>
      <c r="B13" s="565"/>
      <c r="C13" s="514"/>
      <c r="D13" s="514"/>
      <c r="E13" s="528" t="s">
        <v>208</v>
      </c>
      <c r="F13" s="530" t="s">
        <v>209</v>
      </c>
      <c r="G13" s="498">
        <f>+G10+7</f>
        <v>45493</v>
      </c>
      <c r="H13" s="498">
        <f>G13+12</f>
        <v>45505</v>
      </c>
      <c r="I13" s="501" t="s">
        <v>31</v>
      </c>
      <c r="J13" s="285" t="s">
        <v>104</v>
      </c>
    </row>
    <row r="14" spans="1:10" ht="15">
      <c r="A14" s="345" t="str">
        <f>+'S.AFRICA via SIN'!A15</f>
        <v>CAPE FAWLEY</v>
      </c>
      <c r="B14" s="566" t="str">
        <f>+'S.AFRICA via SIN'!B15</f>
        <v>127S</v>
      </c>
      <c r="C14" s="440">
        <f>+'S.AFRICA via SIN'!C15</f>
        <v>45487</v>
      </c>
      <c r="D14" s="400">
        <f>C14+2</f>
        <v>45489</v>
      </c>
      <c r="E14" s="524" t="s">
        <v>213</v>
      </c>
      <c r="F14" s="399" t="s">
        <v>214</v>
      </c>
      <c r="G14" s="499">
        <f>+G11+7</f>
        <v>45490</v>
      </c>
      <c r="H14" s="334" t="s">
        <v>31</v>
      </c>
      <c r="I14" s="335">
        <f>+G14+19</f>
        <v>45509</v>
      </c>
      <c r="J14" s="183" t="s">
        <v>109</v>
      </c>
    </row>
    <row r="15" spans="1:10" ht="15">
      <c r="A15" s="567" t="str">
        <f>+'S.AFRICA via SIN'!A16</f>
        <v>SINAR SUNDA</v>
      </c>
      <c r="B15" s="532" t="str">
        <f>+'S.AFRICA via SIN'!B16</f>
        <v>169S</v>
      </c>
      <c r="C15" s="515">
        <f>+'S.AFRICA via SIN'!C16</f>
        <v>45481</v>
      </c>
      <c r="D15" s="516">
        <f>+C15+2</f>
        <v>45483</v>
      </c>
      <c r="E15" s="426"/>
      <c r="F15" s="399"/>
      <c r="G15" s="499"/>
      <c r="H15" s="334"/>
      <c r="I15" s="335"/>
      <c r="J15" s="183"/>
    </row>
    <row r="16" spans="1:10" ht="15">
      <c r="A16" s="513"/>
      <c r="B16" s="565"/>
      <c r="C16" s="514"/>
      <c r="D16" s="514"/>
      <c r="E16" s="528" t="s">
        <v>210</v>
      </c>
      <c r="F16" s="542" t="s">
        <v>180</v>
      </c>
      <c r="G16" s="498">
        <f>+G13+7</f>
        <v>45500</v>
      </c>
      <c r="H16" s="498">
        <f>G16+12</f>
        <v>45512</v>
      </c>
      <c r="I16" s="501" t="s">
        <v>31</v>
      </c>
      <c r="J16" s="285" t="s">
        <v>104</v>
      </c>
    </row>
    <row r="17" spans="1:22" ht="15">
      <c r="A17" s="345" t="str">
        <f>+'S.AFRICA via SIN'!A20</f>
        <v>SAN LORENZO</v>
      </c>
      <c r="B17" s="566" t="str">
        <f>+'S.AFRICA via SIN'!B20</f>
        <v>262S</v>
      </c>
      <c r="C17" s="440">
        <f>+'S.AFRICA via SIN'!C20</f>
        <v>45494</v>
      </c>
      <c r="D17" s="400">
        <f>C17+2</f>
        <v>45496</v>
      </c>
      <c r="E17" s="524" t="s">
        <v>215</v>
      </c>
      <c r="F17" s="399" t="s">
        <v>216</v>
      </c>
      <c r="G17" s="499">
        <f>+G14+7</f>
        <v>45497</v>
      </c>
      <c r="H17" s="334" t="s">
        <v>31</v>
      </c>
      <c r="I17" s="335">
        <f>+G17+19</f>
        <v>45516</v>
      </c>
      <c r="J17" s="183" t="s">
        <v>109</v>
      </c>
    </row>
    <row r="18" spans="1:22" ht="15">
      <c r="A18" s="567" t="str">
        <f>+'S.AFRICA via SIN'!A21</f>
        <v>AN HAI</v>
      </c>
      <c r="B18" s="532" t="str">
        <f>+'S.AFRICA via SIN'!B21</f>
        <v>019S</v>
      </c>
      <c r="C18" s="515">
        <f>+'S.AFRICA via SIN'!C21</f>
        <v>45488</v>
      </c>
      <c r="D18" s="516">
        <f>+C18+2</f>
        <v>45490</v>
      </c>
      <c r="E18" s="426"/>
      <c r="F18" s="399"/>
      <c r="G18" s="499"/>
      <c r="H18" s="334"/>
      <c r="I18" s="335"/>
      <c r="J18" s="183"/>
    </row>
    <row r="19" spans="1:22" ht="15">
      <c r="A19" s="570"/>
      <c r="B19" s="570"/>
      <c r="C19" s="571"/>
      <c r="D19" s="571"/>
      <c r="E19" s="572" t="s">
        <v>150</v>
      </c>
      <c r="F19" s="573" t="s">
        <v>211</v>
      </c>
      <c r="G19" s="574">
        <f>+G16+7</f>
        <v>45507</v>
      </c>
      <c r="H19" s="574">
        <f>G19+12</f>
        <v>45519</v>
      </c>
      <c r="I19" s="575" t="s">
        <v>31</v>
      </c>
      <c r="J19" s="285" t="s">
        <v>104</v>
      </c>
    </row>
    <row r="20" spans="1:22" ht="15">
      <c r="A20" s="345" t="str">
        <f>+'S.AFRICA via SIN'!A25</f>
        <v>CAPE FAWLEY</v>
      </c>
      <c r="B20" s="576" t="str">
        <f>+'S.AFRICA via SIN'!B25</f>
        <v>128S</v>
      </c>
      <c r="C20" s="440">
        <f>+'S.AFRICA via SIN'!C25</f>
        <v>45501</v>
      </c>
      <c r="D20" s="400">
        <f>C20+2</f>
        <v>45503</v>
      </c>
      <c r="E20" s="145" t="s">
        <v>31</v>
      </c>
      <c r="F20" s="149" t="s">
        <v>31</v>
      </c>
      <c r="G20" s="499">
        <f>+G17+7</f>
        <v>45504</v>
      </c>
      <c r="H20" s="334" t="s">
        <v>31</v>
      </c>
      <c r="I20" s="335">
        <f>+G20+19</f>
        <v>45523</v>
      </c>
      <c r="J20" s="183" t="s">
        <v>109</v>
      </c>
    </row>
    <row r="21" spans="1:22" ht="15">
      <c r="A21" s="567" t="str">
        <f>+'S.AFRICA via SIN'!A26</f>
        <v>SINAR SUNDA</v>
      </c>
      <c r="B21" s="509" t="str">
        <f>+'S.AFRICA via SIN'!B26</f>
        <v>170S</v>
      </c>
      <c r="C21" s="577">
        <f>+'S.AFRICA via SIN'!C26</f>
        <v>45495</v>
      </c>
      <c r="D21" s="511">
        <f>+C21+2</f>
        <v>45497</v>
      </c>
      <c r="E21" s="578"/>
      <c r="F21" s="579"/>
      <c r="G21" s="580"/>
      <c r="H21" s="581"/>
      <c r="I21" s="582"/>
      <c r="J21" s="183"/>
    </row>
    <row r="22" spans="1:22" ht="15">
      <c r="A22" s="570"/>
      <c r="B22" s="570"/>
      <c r="C22" s="571"/>
      <c r="D22" s="571"/>
      <c r="E22" s="572" t="s">
        <v>151</v>
      </c>
      <c r="F22" s="573" t="s">
        <v>212</v>
      </c>
      <c r="G22" s="574">
        <f>+G19+7</f>
        <v>45514</v>
      </c>
      <c r="H22" s="574">
        <f>G22+12</f>
        <v>45526</v>
      </c>
      <c r="I22" s="575" t="s">
        <v>31</v>
      </c>
      <c r="J22" s="285" t="s">
        <v>104</v>
      </c>
    </row>
    <row r="23" spans="1:22" ht="15">
      <c r="A23" s="345" t="str">
        <f>'S.AFRICA via SIN'!A30</f>
        <v>SAN LORENZO</v>
      </c>
      <c r="B23" s="576" t="str">
        <f>'S.AFRICA via SIN'!B30</f>
        <v>263S</v>
      </c>
      <c r="C23" s="440">
        <f>'S.AMERICA via SIN'!C23</f>
        <v>45508</v>
      </c>
      <c r="D23" s="400">
        <v>45384</v>
      </c>
      <c r="E23" s="524" t="s">
        <v>153</v>
      </c>
      <c r="F23" s="399" t="s">
        <v>217</v>
      </c>
      <c r="G23" s="499">
        <f>+G20+7</f>
        <v>45511</v>
      </c>
      <c r="H23" s="334" t="s">
        <v>31</v>
      </c>
      <c r="I23" s="335">
        <f>+G23+19</f>
        <v>45530</v>
      </c>
      <c r="J23" s="183" t="s">
        <v>109</v>
      </c>
    </row>
    <row r="24" spans="1:22" ht="15">
      <c r="A24" s="567" t="str">
        <f>'S.AFRICA via SIN'!A31</f>
        <v>AN HAI</v>
      </c>
      <c r="B24" s="509" t="str">
        <f>'S.AFRICA via SIN'!B31</f>
        <v>020S</v>
      </c>
      <c r="C24" s="577">
        <f>'S.AFRICA via SIN'!C31</f>
        <v>45502</v>
      </c>
      <c r="D24" s="511">
        <v>45385</v>
      </c>
      <c r="E24" s="578"/>
      <c r="F24" s="579"/>
      <c r="G24" s="580"/>
      <c r="H24" s="581"/>
      <c r="I24" s="582"/>
      <c r="J24" s="183"/>
    </row>
    <row r="25" spans="1:22" ht="15">
      <c r="A25" s="548"/>
      <c r="B25" s="548"/>
      <c r="C25" s="549"/>
      <c r="D25" s="550"/>
      <c r="E25" s="426"/>
      <c r="F25" s="399"/>
      <c r="G25" s="551"/>
      <c r="H25" s="552"/>
      <c r="I25" s="553"/>
      <c r="J25" s="183"/>
    </row>
    <row r="26" spans="1:22" ht="15">
      <c r="A26" s="448"/>
      <c r="B26" s="424"/>
      <c r="C26" s="441"/>
      <c r="D26" s="441"/>
      <c r="E26" s="449"/>
      <c r="F26" s="450"/>
      <c r="G26" s="451"/>
      <c r="H26" s="452"/>
      <c r="I26" s="453"/>
      <c r="J26" s="396"/>
    </row>
    <row r="27" spans="1:22">
      <c r="A27" s="187"/>
      <c r="B27" s="187"/>
      <c r="C27" s="161"/>
      <c r="D27" s="161"/>
      <c r="E27" s="286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86"/>
      <c r="F28" s="187"/>
      <c r="G28" s="161"/>
      <c r="H28" s="159"/>
      <c r="I28" s="163" t="s">
        <v>32</v>
      </c>
      <c r="K28" s="188"/>
    </row>
    <row r="29" spans="1:22" ht="15">
      <c r="A29" s="154" t="s">
        <v>33</v>
      </c>
      <c r="B29" s="154"/>
      <c r="C29" s="160"/>
      <c r="D29" s="161"/>
      <c r="E29" s="287"/>
      <c r="F29" s="268"/>
      <c r="G29" s="162"/>
      <c r="H29" s="162"/>
      <c r="J29" s="161"/>
      <c r="K29" s="161"/>
    </row>
    <row r="30" spans="1:22" ht="15">
      <c r="A30" s="352" t="s">
        <v>114</v>
      </c>
      <c r="B30" s="184"/>
      <c r="C30" s="185"/>
      <c r="D30" s="185"/>
      <c r="E30" s="287"/>
      <c r="F30" s="268"/>
      <c r="G30" s="162"/>
      <c r="H30" s="162"/>
      <c r="K30" s="145"/>
      <c r="L30" s="145"/>
      <c r="M30" s="145"/>
    </row>
    <row r="31" spans="1:22" s="124" customFormat="1" ht="15">
      <c r="A31" s="276" t="s">
        <v>73</v>
      </c>
      <c r="B31" s="181"/>
      <c r="C31" s="174"/>
      <c r="D31" s="165"/>
      <c r="E31" s="186"/>
      <c r="F31" s="269"/>
      <c r="G31" s="162"/>
      <c r="P31" s="144"/>
      <c r="Q31" s="144"/>
      <c r="R31" s="144"/>
      <c r="S31" s="144"/>
      <c r="T31" s="144"/>
      <c r="U31" s="144"/>
      <c r="V31" s="144"/>
    </row>
    <row r="32" spans="1:22" s="124" customFormat="1" ht="15">
      <c r="A32" s="1" t="s">
        <v>74</v>
      </c>
      <c r="B32" s="181"/>
      <c r="C32" s="174"/>
      <c r="D32" s="165"/>
      <c r="E32" s="186"/>
      <c r="F32" s="269"/>
      <c r="G32" s="162"/>
      <c r="P32" s="144"/>
      <c r="Q32" s="144"/>
      <c r="R32" s="144"/>
      <c r="S32" s="144"/>
      <c r="T32" s="144"/>
      <c r="U32" s="144"/>
      <c r="V32" s="144"/>
    </row>
    <row r="33" spans="1:11" ht="15">
      <c r="A33" s="155"/>
      <c r="B33" s="164"/>
      <c r="C33" s="174"/>
      <c r="D33" s="165"/>
      <c r="E33" s="81"/>
      <c r="F33" s="270"/>
      <c r="G33" s="162"/>
      <c r="H33" s="162"/>
      <c r="J33" s="161"/>
      <c r="K33" s="161"/>
    </row>
    <row r="34" spans="1:11" ht="15">
      <c r="A34" s="156" t="s">
        <v>98</v>
      </c>
      <c r="B34" s="169"/>
      <c r="C34" s="175"/>
      <c r="D34" s="170"/>
      <c r="E34" s="171"/>
      <c r="F34" s="271"/>
      <c r="G34" s="168"/>
      <c r="H34" s="168"/>
      <c r="J34" s="161"/>
      <c r="K34" s="161"/>
    </row>
    <row r="35" spans="1:11" ht="15">
      <c r="A35" s="156" t="s">
        <v>97</v>
      </c>
      <c r="B35" s="172"/>
      <c r="C35" s="173"/>
      <c r="D35" s="176"/>
      <c r="E35" s="80"/>
      <c r="F35" s="236"/>
      <c r="G35" s="162"/>
      <c r="H35" s="162"/>
      <c r="J35" s="161"/>
      <c r="K35" s="161"/>
    </row>
    <row r="36" spans="1:11">
      <c r="A36" s="187"/>
      <c r="B36" s="187"/>
      <c r="C36" s="161"/>
      <c r="D36" s="161"/>
      <c r="E36" s="286"/>
      <c r="F36" s="187"/>
      <c r="G36" s="161"/>
      <c r="H36" s="161"/>
      <c r="I36" s="161"/>
      <c r="J36" s="161"/>
      <c r="K36" s="161"/>
    </row>
    <row r="37" spans="1:11">
      <c r="A37" s="187"/>
      <c r="B37" s="187"/>
      <c r="C37" s="161"/>
      <c r="D37" s="161"/>
      <c r="E37" s="286"/>
      <c r="F37" s="187"/>
      <c r="G37" s="161"/>
      <c r="H37" s="161"/>
      <c r="I37" s="161"/>
      <c r="J37" s="161"/>
      <c r="K37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revision/>
  <dcterms:created xsi:type="dcterms:W3CDTF">1999-08-17T08:14:37Z</dcterms:created>
  <dcterms:modified xsi:type="dcterms:W3CDTF">2024-07-23T08:04:03Z</dcterms:modified>
</cp:coreProperties>
</file>